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755" tabRatio="602" firstSheet="1" activeTab="1"/>
  </bookViews>
  <sheets>
    <sheet name="abc" sheetId="1" state="hidden" r:id="rId1"/>
    <sheet name="Worksheet" sheetId="2" r:id="rId2"/>
    <sheet name="Wedge Calculation" sheetId="3" r:id="rId3"/>
    <sheet name="Instructions" sheetId="4" r:id="rId4"/>
    <sheet name="BP%" sheetId="5" state="hidden" r:id="rId5"/>
  </sheets>
  <definedNames>
    <definedName name="_xlnm.Print_Area" localSheetId="3">'Instructions'!$A$1:$J$68</definedName>
    <definedName name="_xlnm.Print_Area" localSheetId="2">'Wedge Calculation'!$A$1:$I$60</definedName>
    <definedName name="_xlnm.Print_Area" localSheetId="1">'Worksheet'!$A$1:$T$40</definedName>
    <definedName name="solver_eng" localSheetId="1" hidden="1">1</definedName>
    <definedName name="solver_neg" localSheetId="1" hidden="1">1</definedName>
    <definedName name="solver_num" localSheetId="1" hidden="1">0</definedName>
    <definedName name="solver_opt" localSheetId="1" hidden="1">'Worksheet'!$T$6</definedName>
    <definedName name="solver_typ" localSheetId="1" hidden="1">1</definedName>
    <definedName name="solver_val" localSheetId="1" hidden="1">0</definedName>
    <definedName name="solver_ver" localSheetId="1" hidden="1">3</definedName>
  </definedNames>
  <calcPr fullCalcOnLoad="1"/>
</workbook>
</file>

<file path=xl/comments1.xml><?xml version="1.0" encoding="utf-8"?>
<comments xmlns="http://schemas.openxmlformats.org/spreadsheetml/2006/main">
  <authors>
    <author>ZIMDAPH</author>
  </authors>
  <commentList>
    <comment ref="A6" authorId="0">
      <text>
        <r>
          <rPr>
            <sz val="8"/>
            <rFont val="Tahoma"/>
            <family val="2"/>
          </rPr>
          <t>This number must be equal to, or smaller than, the average of B and C.</t>
        </r>
      </text>
    </comment>
    <comment ref="A1" authorId="0">
      <text>
        <r>
          <rPr>
            <b/>
            <sz val="8"/>
            <rFont val="Tahoma"/>
            <family val="2"/>
          </rPr>
          <t>ZIMDAPH:</t>
        </r>
        <r>
          <rPr>
            <sz val="8"/>
            <rFont val="Tahoma"/>
            <family val="2"/>
          </rPr>
          <t xml:space="preserve">
Horizontal distance from end wall to beginning of top peak.</t>
        </r>
      </text>
    </comment>
  </commentList>
</comments>
</file>

<file path=xl/comments2.xml><?xml version="1.0" encoding="utf-8"?>
<comments xmlns="http://schemas.openxmlformats.org/spreadsheetml/2006/main">
  <authors>
    <author>ZIMDAPH</author>
    <author>zimdaph</author>
  </authors>
  <commentList>
    <comment ref="B2" authorId="0">
      <text>
        <r>
          <rPr>
            <sz val="8"/>
            <rFont val="Tahoma"/>
            <family val="2"/>
          </rPr>
          <t xml:space="preserve">There are 5 options. Choose from the drop-down list.
If you are changing dimensions/ capacity of an existing bin, </t>
        </r>
        <r>
          <rPr>
            <b/>
            <sz val="8"/>
            <rFont val="Tahoma"/>
            <family val="2"/>
          </rPr>
          <t>Delete</t>
        </r>
        <r>
          <rPr>
            <sz val="8"/>
            <rFont val="Tahoma"/>
            <family val="2"/>
          </rPr>
          <t xml:space="preserve"> it first and </t>
        </r>
        <r>
          <rPr>
            <b/>
            <sz val="8"/>
            <rFont val="Tahoma"/>
            <family val="2"/>
          </rPr>
          <t>Add</t>
        </r>
        <r>
          <rPr>
            <sz val="8"/>
            <rFont val="Tahoma"/>
            <family val="2"/>
          </rPr>
          <t xml:space="preserve"> it with the new dimensions.
</t>
        </r>
        <r>
          <rPr>
            <b/>
            <sz val="8"/>
            <rFont val="Tahoma"/>
            <family val="2"/>
          </rPr>
          <t>Adjust</t>
        </r>
        <r>
          <rPr>
            <sz val="8"/>
            <rFont val="Tahoma"/>
            <family val="2"/>
          </rPr>
          <t xml:space="preserve"> cannot be used in rows #1, 9 and 17.  Use </t>
        </r>
        <r>
          <rPr>
            <b/>
            <sz val="8"/>
            <rFont val="Tahoma"/>
            <family val="2"/>
          </rPr>
          <t>Adjust</t>
        </r>
        <r>
          <rPr>
            <sz val="8"/>
            <rFont val="Tahoma"/>
            <family val="2"/>
          </rPr>
          <t xml:space="preserve"> to change the capcity in the row above it. For example, a large flat that has an office in one corner. </t>
        </r>
        <r>
          <rPr>
            <b/>
            <sz val="8"/>
            <rFont val="Tahoma"/>
            <family val="2"/>
          </rPr>
          <t>Adjust</t>
        </r>
        <r>
          <rPr>
            <sz val="8"/>
            <rFont val="Tahoma"/>
            <family val="2"/>
          </rPr>
          <t xml:space="preserve"> deletes the capacity that is used by the corner office.
Do not use negative numbers when </t>
        </r>
        <r>
          <rPr>
            <b/>
            <sz val="8"/>
            <rFont val="Tahoma"/>
            <family val="2"/>
          </rPr>
          <t>Deleting</t>
        </r>
        <r>
          <rPr>
            <sz val="8"/>
            <rFont val="Tahoma"/>
            <family val="2"/>
          </rPr>
          <t xml:space="preserve">.
</t>
        </r>
        <r>
          <rPr>
            <b/>
            <sz val="8"/>
            <rFont val="Tahoma"/>
            <family val="2"/>
          </rPr>
          <t>+ Ag Bag</t>
        </r>
        <r>
          <rPr>
            <sz val="8"/>
            <rFont val="Tahoma"/>
            <family val="2"/>
          </rPr>
          <t xml:space="preserve"> &amp; </t>
        </r>
        <r>
          <rPr>
            <b/>
            <sz val="8"/>
            <rFont val="Tahoma"/>
            <family val="2"/>
          </rPr>
          <t>- Ag Bag</t>
        </r>
        <r>
          <rPr>
            <sz val="8"/>
            <rFont val="Tahoma"/>
            <family val="2"/>
          </rPr>
          <t xml:space="preserve"> are to be used only for determining the capacity of plastic bags that lie on their side and in which you will be storing grain.</t>
        </r>
      </text>
    </comment>
    <comment ref="C2" authorId="0">
      <text>
        <r>
          <rPr>
            <sz val="8"/>
            <rFont val="Tahoma"/>
            <family val="2"/>
          </rPr>
          <t>If you are changing an existing bin, this number must correspond to the number on our bin capacity chart.</t>
        </r>
      </text>
    </comment>
    <comment ref="D2" authorId="0">
      <text>
        <r>
          <rPr>
            <sz val="8"/>
            <rFont val="Tahoma"/>
            <family val="2"/>
          </rPr>
          <t xml:space="preserve">Measured in feet &amp; tenths of a foot.
If not empty and you cannot measure across the inside, measure around the outside (the circumference) and divide that amount by Pi (3.14159265).
</t>
        </r>
      </text>
    </comment>
    <comment ref="E2" authorId="0">
      <text>
        <r>
          <rPr>
            <sz val="8"/>
            <rFont val="Tahoma"/>
            <family val="2"/>
          </rPr>
          <t xml:space="preserve">The radius is equal to one half of the diameter
</t>
        </r>
      </text>
    </comment>
    <comment ref="H2" authorId="0">
      <text>
        <r>
          <rPr>
            <sz val="8"/>
            <rFont val="Tahoma"/>
            <family val="2"/>
          </rPr>
          <t>For a warehouse with square corners, Area = Length x Width.
For a round warehouse, Area = Pi x Radius</t>
        </r>
        <r>
          <rPr>
            <vertAlign val="superscript"/>
            <sz val="8"/>
            <rFont val="Tahoma"/>
            <family val="2"/>
          </rPr>
          <t>2</t>
        </r>
        <r>
          <rPr>
            <sz val="8"/>
            <rFont val="Tahoma"/>
            <family val="2"/>
          </rPr>
          <t>. (Pi = 3.14159265)</t>
        </r>
      </text>
    </comment>
    <comment ref="I2" authorId="0">
      <text>
        <r>
          <rPr>
            <sz val="8"/>
            <rFont val="Tahoma"/>
            <family val="2"/>
          </rPr>
          <t>Multiply the area of the floor (ft.</t>
        </r>
        <r>
          <rPr>
            <vertAlign val="superscript"/>
            <sz val="8"/>
            <rFont val="Tahoma"/>
            <family val="2"/>
          </rPr>
          <t>2</t>
        </r>
        <r>
          <rPr>
            <sz val="8"/>
            <rFont val="Tahoma"/>
            <family val="2"/>
          </rPr>
          <t>) by the height of the first foot above the floor. The result is volume (ft.</t>
        </r>
        <r>
          <rPr>
            <vertAlign val="superscript"/>
            <sz val="8"/>
            <rFont val="Tahoma"/>
            <family val="2"/>
          </rPr>
          <t>3</t>
        </r>
        <r>
          <rPr>
            <sz val="8"/>
            <rFont val="Tahoma"/>
            <family val="2"/>
          </rPr>
          <t>) in the same amount as the area.
The volume of a bushel is 1.244 ft.</t>
        </r>
        <r>
          <rPr>
            <vertAlign val="superscript"/>
            <sz val="8"/>
            <rFont val="Tahoma"/>
            <family val="2"/>
          </rPr>
          <t>3</t>
        </r>
      </text>
    </comment>
    <comment ref="J2" authorId="0">
      <text>
        <r>
          <rPr>
            <sz val="8"/>
            <rFont val="Tahoma"/>
            <family val="2"/>
          </rPr>
          <t>This is the point from which the 'Extreme Depth' is measured. For most warehouses it is the top of the sidewall, if it can be reached without endangering safety.
This is also the point from which measurements are taken for determining the quantity of grain in the warehouse.</t>
        </r>
      </text>
    </comment>
    <comment ref="K2" authorId="0">
      <text>
        <r>
          <rPr>
            <sz val="8"/>
            <rFont val="Tahoma"/>
            <family val="2"/>
          </rPr>
          <t>This is the distance from the 'Zero Point' to the bottom of the warehouse.
Measured in feet &amp; tenths of a foot.</t>
        </r>
      </text>
    </comment>
    <comment ref="G2" authorId="0">
      <text>
        <r>
          <rPr>
            <sz val="8"/>
            <rFont val="Tahoma"/>
            <family val="2"/>
          </rPr>
          <t>Measured in feet &amp; tenths of a foot.</t>
        </r>
      </text>
    </comment>
    <comment ref="F2" authorId="0">
      <text>
        <r>
          <rPr>
            <sz val="8"/>
            <rFont val="Tahoma"/>
            <family val="2"/>
          </rPr>
          <t>Measured in feet &amp; tenths of a foot.</t>
        </r>
      </text>
    </comment>
    <comment ref="L2" authorId="0">
      <text>
        <r>
          <rPr>
            <sz val="8"/>
            <rFont val="Tahoma"/>
            <family val="2"/>
          </rPr>
          <t xml:space="preserve">For hopper bottoms that are conical or pyramidal in shape, the deduction is equal to 2/3 of the height of the hopper. (The height of the hopper is the length of a vertical line from the bottom of the warehouse's straight wall to the bottom of the hopper.)
For hopper bottoms that form a right triangle from one side wall to the opposite side wall, the deduction is equal to 1/2 of the height of the hopper. </t>
        </r>
      </text>
    </comment>
    <comment ref="S2" authorId="0">
      <text>
        <r>
          <rPr>
            <sz val="8"/>
            <rFont val="Tahoma"/>
            <family val="2"/>
          </rPr>
          <t>This is based on bushels per foot and the shape of the warehouse.</t>
        </r>
      </text>
    </comment>
    <comment ref="M2" authorId="0">
      <text>
        <r>
          <rPr>
            <sz val="8"/>
            <rFont val="Tahoma"/>
            <family val="2"/>
          </rPr>
          <t>The length of a vertical line from the 'Zero Point' to the bottom of a warehouse with a flat floor.</t>
        </r>
      </text>
    </comment>
    <comment ref="N2" authorId="0">
      <text>
        <r>
          <rPr>
            <sz val="8"/>
            <rFont val="Tahoma"/>
            <family val="2"/>
          </rPr>
          <t>For round warehouses, this is equal to 6% of the diameter. (Approximately the same as 1/3 the height of a cone with an angle of 20 degrees, at the side wall, up from a line perpendicular to the top of the side wall.)
For square warehouses, this is equal to 1/3 the height of a cone with an angle of 20 degrees, at the side wall, up from a line perpendicular to the top of the side wall. (Cones / Wedges of less than 500 bushels are automatically excluded</t>
        </r>
        <r>
          <rPr>
            <b/>
            <sz val="7"/>
            <rFont val="Tahoma"/>
            <family val="2"/>
          </rPr>
          <t>.</t>
        </r>
        <r>
          <rPr>
            <sz val="8"/>
            <rFont val="Tahoma"/>
            <family val="2"/>
          </rPr>
          <t xml:space="preserve">)
For rectangular warehouses, use the following formula (see Wedge Calculation worksheet):
</t>
        </r>
        <r>
          <rPr>
            <b/>
            <sz val="8"/>
            <rFont val="Tahoma"/>
            <family val="2"/>
          </rPr>
          <t>W x H x (A + B + C), divided by 6, divided by 1.244, and divided again by 'Bushels per Foot'</t>
        </r>
        <r>
          <rPr>
            <sz val="8"/>
            <rFont val="Tahoma"/>
            <family val="2"/>
          </rPr>
          <t xml:space="preserve">.
If </t>
        </r>
        <r>
          <rPr>
            <b/>
            <sz val="8"/>
            <rFont val="Tahoma"/>
            <family val="2"/>
          </rPr>
          <t>H</t>
        </r>
        <r>
          <rPr>
            <sz val="8"/>
            <rFont val="Tahoma"/>
            <family val="2"/>
          </rPr>
          <t xml:space="preserve"> (height) is a different amount than calculated on the Wedge Calculation worksheet, enter the amount for </t>
        </r>
        <r>
          <rPr>
            <b/>
            <sz val="8"/>
            <rFont val="Tahoma"/>
            <family val="2"/>
          </rPr>
          <t>H</t>
        </r>
        <r>
          <rPr>
            <sz val="8"/>
            <rFont val="Tahoma"/>
            <family val="2"/>
          </rPr>
          <t xml:space="preserve"> in the shaded area. That amount for H will be used in the formula shown above.  If </t>
        </r>
        <r>
          <rPr>
            <b/>
            <sz val="8"/>
            <rFont val="Tahoma"/>
            <family val="2"/>
          </rPr>
          <t>H</t>
        </r>
        <r>
          <rPr>
            <sz val="8"/>
            <rFont val="Tahoma"/>
            <family val="2"/>
          </rPr>
          <t xml:space="preserve"> = zero, enter </t>
        </r>
        <r>
          <rPr>
            <b/>
            <sz val="8"/>
            <rFont val="Tahoma"/>
            <family val="2"/>
          </rPr>
          <t>0.</t>
        </r>
      </text>
    </comment>
    <comment ref="A2" authorId="0">
      <text>
        <r>
          <rPr>
            <sz val="8"/>
            <rFont val="Tahoma"/>
            <family val="2"/>
          </rPr>
          <t>After you print this sheet, print the complete legal name of the warehouse keeper in the upper left-hand corner.</t>
        </r>
      </text>
    </comment>
    <comment ref="A15" authorId="0">
      <text>
        <r>
          <rPr>
            <sz val="8"/>
            <rFont val="Tahoma"/>
            <family val="2"/>
          </rPr>
          <t>If the location address for warehouses entered in rows 9 through 16 is different than for warehouses entered in rows 1 through 8, enter the complete address. Street &amp; Number; Post Office + Zip Code; County.</t>
        </r>
      </text>
    </comment>
    <comment ref="A25" authorId="0">
      <text>
        <r>
          <rPr>
            <sz val="8"/>
            <rFont val="Tahoma"/>
            <family val="2"/>
          </rPr>
          <t>If the location address for warehouses entered in rows 9 through 16 is different than for warehouses entered in rows 1 through 8, enter the complete address. Street &amp; Number; Post Office + Zip Code; County.</t>
        </r>
      </text>
    </comment>
    <comment ref="O3" authorId="0">
      <text>
        <r>
          <rPr>
            <sz val="9"/>
            <rFont val="Tahoma"/>
            <family val="2"/>
          </rPr>
          <t>If appropriate, enter an amount in this column to override the calculated amount.</t>
        </r>
      </text>
    </comment>
    <comment ref="F38" authorId="1">
      <text>
        <r>
          <rPr>
            <sz val="8"/>
            <rFont val="Tahoma"/>
            <family val="2"/>
          </rPr>
          <t>Anything in this space causes the date to the left to disappear.</t>
        </r>
      </text>
    </comment>
  </commentList>
</comments>
</file>

<file path=xl/comments3.xml><?xml version="1.0" encoding="utf-8"?>
<comments xmlns="http://schemas.openxmlformats.org/spreadsheetml/2006/main">
  <authors>
    <author>ZIMDAPH</author>
  </authors>
  <commentList>
    <comment ref="A14" authorId="0">
      <text>
        <r>
          <rPr>
            <sz val="8"/>
            <rFont val="Tahoma"/>
            <family val="2"/>
          </rPr>
          <t>The short side.  This number must be equal to, or smaller than, the average of B and C.
Use feet &amp; tenths of a foot.</t>
        </r>
      </text>
    </comment>
    <comment ref="A11" authorId="0">
      <text>
        <r>
          <rPr>
            <sz val="8"/>
            <rFont val="Tahoma"/>
            <family val="2"/>
          </rPr>
          <t xml:space="preserve">This is the angle formed by the slope of the grain with a horizontal line or plane at the base of the wedge.
If you don't know the </t>
        </r>
        <r>
          <rPr>
            <b/>
            <sz val="8"/>
            <rFont val="Tahoma"/>
            <family val="2"/>
          </rPr>
          <t>Angle of Repose</t>
        </r>
        <r>
          <rPr>
            <sz val="8"/>
            <rFont val="Tahoma"/>
            <family val="2"/>
          </rPr>
          <t xml:space="preserve">, but you do know the </t>
        </r>
        <r>
          <rPr>
            <b/>
            <sz val="8"/>
            <rFont val="Tahoma"/>
            <family val="2"/>
          </rPr>
          <t>H</t>
        </r>
        <r>
          <rPr>
            <sz val="8"/>
            <rFont val="Tahoma"/>
            <family val="2"/>
          </rPr>
          <t xml:space="preserve">eight, leave this blank and enter an amount for </t>
        </r>
        <r>
          <rPr>
            <b/>
            <sz val="8"/>
            <rFont val="Tahoma"/>
            <family val="2"/>
          </rPr>
          <t>H</t>
        </r>
        <r>
          <rPr>
            <sz val="8"/>
            <rFont val="Tahoma"/>
            <family val="2"/>
          </rPr>
          <t xml:space="preserve">. The volume will be calculated using an </t>
        </r>
        <r>
          <rPr>
            <b/>
            <sz val="8"/>
            <rFont val="Tahoma"/>
            <family val="2"/>
          </rPr>
          <t>Angle of Repose</t>
        </r>
        <r>
          <rPr>
            <sz val="8"/>
            <rFont val="Tahoma"/>
            <family val="2"/>
          </rPr>
          <t xml:space="preserve"> of </t>
        </r>
        <r>
          <rPr>
            <b/>
            <sz val="8"/>
            <rFont val="Tahoma"/>
            <family val="2"/>
          </rPr>
          <t>20°</t>
        </r>
        <r>
          <rPr>
            <sz val="8"/>
            <rFont val="Tahoma"/>
            <family val="2"/>
          </rPr>
          <t xml:space="preserve">.
Unless there are specific reasons to do so, you should NOT use an </t>
        </r>
        <r>
          <rPr>
            <b/>
            <sz val="8"/>
            <rFont val="Tahoma"/>
            <family val="2"/>
          </rPr>
          <t>Angle of Repose</t>
        </r>
        <r>
          <rPr>
            <sz val="8"/>
            <rFont val="Tahoma"/>
            <family val="2"/>
          </rPr>
          <t xml:space="preserve"> greater than </t>
        </r>
        <r>
          <rPr>
            <b/>
            <sz val="8"/>
            <rFont val="Tahoma"/>
            <family val="2"/>
          </rPr>
          <t>20°</t>
        </r>
        <r>
          <rPr>
            <sz val="8"/>
            <rFont val="Tahoma"/>
            <family val="2"/>
          </rPr>
          <t xml:space="preserve">. An </t>
        </r>
        <r>
          <rPr>
            <b/>
            <sz val="8"/>
            <rFont val="Tahoma"/>
            <family val="2"/>
          </rPr>
          <t>Angle of Repose</t>
        </r>
        <r>
          <rPr>
            <sz val="8"/>
            <rFont val="Tahoma"/>
            <family val="2"/>
          </rPr>
          <t xml:space="preserve"> less than </t>
        </r>
        <r>
          <rPr>
            <b/>
            <sz val="8"/>
            <rFont val="Tahoma"/>
            <family val="2"/>
          </rPr>
          <t>20°</t>
        </r>
        <r>
          <rPr>
            <sz val="8"/>
            <rFont val="Tahoma"/>
            <family val="2"/>
          </rPr>
          <t xml:space="preserve"> may be required, depending on the vertical height of the open space above the grain.</t>
        </r>
      </text>
    </comment>
    <comment ref="A12" authorId="0">
      <text>
        <r>
          <rPr>
            <sz val="8"/>
            <rFont val="Tahoma"/>
            <family val="2"/>
          </rPr>
          <t>The long side, or one of them.
Use feet &amp; tenths of a foot.</t>
        </r>
      </text>
    </comment>
    <comment ref="A13" authorId="0">
      <text>
        <r>
          <rPr>
            <sz val="8"/>
            <rFont val="Tahoma"/>
            <family val="2"/>
          </rPr>
          <t>The other long side. This doesn't have to be the same length as the first long side.
Use feet &amp; tenths of a foot.</t>
        </r>
      </text>
    </comment>
    <comment ref="A15" authorId="0">
      <text>
        <r>
          <rPr>
            <sz val="8"/>
            <rFont val="Tahoma"/>
            <family val="2"/>
          </rPr>
          <t xml:space="preserve">This is the length of a vertical line from the base of the wedge to the top of the peak. If you enter an amount for </t>
        </r>
        <r>
          <rPr>
            <b/>
            <sz val="8"/>
            <rFont val="Tahoma"/>
            <family val="2"/>
          </rPr>
          <t>Angle of Repose</t>
        </r>
        <r>
          <rPr>
            <sz val="8"/>
            <rFont val="Tahoma"/>
            <family val="2"/>
          </rPr>
          <t xml:space="preserve">, do not enter an amount here.
However, you should enter an amount for </t>
        </r>
        <r>
          <rPr>
            <b/>
            <sz val="8"/>
            <rFont val="Tahoma"/>
            <family val="2"/>
          </rPr>
          <t>H</t>
        </r>
        <r>
          <rPr>
            <sz val="8"/>
            <rFont val="Tahoma"/>
            <family val="2"/>
          </rPr>
          <t xml:space="preserve"> (even if you did enter an amount for </t>
        </r>
        <r>
          <rPr>
            <b/>
            <sz val="8"/>
            <rFont val="Tahoma"/>
            <family val="2"/>
          </rPr>
          <t>Angle of Repose</t>
        </r>
        <r>
          <rPr>
            <sz val="8"/>
            <rFont val="Tahoma"/>
            <family val="2"/>
          </rPr>
          <t xml:space="preserve">), if you want to enter an amount for </t>
        </r>
        <r>
          <rPr>
            <b/>
            <sz val="8"/>
            <rFont val="Tahoma"/>
            <family val="2"/>
          </rPr>
          <t>A</t>
        </r>
        <r>
          <rPr>
            <sz val="8"/>
            <rFont val="Tahoma"/>
            <family val="2"/>
          </rPr>
          <t xml:space="preserve"> that will be used to calculate </t>
        </r>
        <r>
          <rPr>
            <b/>
            <sz val="8"/>
            <rFont val="Tahoma"/>
            <family val="2"/>
          </rPr>
          <t>Effective Height</t>
        </r>
        <r>
          <rPr>
            <sz val="8"/>
            <rFont val="Tahoma"/>
            <family val="2"/>
          </rPr>
          <t xml:space="preserve">. (The amount for </t>
        </r>
        <r>
          <rPr>
            <b/>
            <sz val="8"/>
            <rFont val="Tahoma"/>
            <family val="2"/>
          </rPr>
          <t>A</t>
        </r>
        <r>
          <rPr>
            <sz val="8"/>
            <rFont val="Tahoma"/>
            <family val="2"/>
          </rPr>
          <t xml:space="preserve"> will be ignored, if you don't also enter an amount for</t>
        </r>
        <r>
          <rPr>
            <b/>
            <sz val="8"/>
            <rFont val="Tahoma"/>
            <family val="2"/>
          </rPr>
          <t xml:space="preserve"> H</t>
        </r>
        <r>
          <rPr>
            <sz val="8"/>
            <rFont val="Tahoma"/>
            <family val="2"/>
          </rPr>
          <t xml:space="preserve">. You may enter the amount for </t>
        </r>
        <r>
          <rPr>
            <b/>
            <sz val="8"/>
            <rFont val="Tahoma"/>
            <family val="2"/>
          </rPr>
          <t>H</t>
        </r>
        <r>
          <rPr>
            <sz val="8"/>
            <rFont val="Tahoma"/>
            <family val="2"/>
          </rPr>
          <t xml:space="preserve"> that has been calculated.)
</t>
        </r>
        <r>
          <rPr>
            <b/>
            <sz val="8"/>
            <rFont val="Tahoma"/>
            <family val="2"/>
          </rPr>
          <t>H</t>
        </r>
        <r>
          <rPr>
            <sz val="8"/>
            <rFont val="Tahoma"/>
            <family val="2"/>
          </rPr>
          <t xml:space="preserve"> will be calculated using the information entered above for </t>
        </r>
        <r>
          <rPr>
            <b/>
            <sz val="8"/>
            <rFont val="Tahoma"/>
            <family val="2"/>
          </rPr>
          <t>Angle of Repose</t>
        </r>
        <r>
          <rPr>
            <sz val="8"/>
            <rFont val="Tahoma"/>
            <family val="2"/>
          </rPr>
          <t xml:space="preserve">, </t>
        </r>
        <r>
          <rPr>
            <b/>
            <sz val="8"/>
            <rFont val="Tahoma"/>
            <family val="2"/>
          </rPr>
          <t>B</t>
        </r>
        <r>
          <rPr>
            <sz val="8"/>
            <rFont val="Tahoma"/>
            <family val="2"/>
          </rPr>
          <t xml:space="preserve">, </t>
        </r>
        <r>
          <rPr>
            <b/>
            <sz val="8"/>
            <rFont val="Tahoma"/>
            <family val="2"/>
          </rPr>
          <t>C</t>
        </r>
        <r>
          <rPr>
            <sz val="8"/>
            <rFont val="Tahoma"/>
            <family val="2"/>
          </rPr>
          <t xml:space="preserve"> and </t>
        </r>
        <r>
          <rPr>
            <b/>
            <sz val="8"/>
            <rFont val="Tahoma"/>
            <family val="2"/>
          </rPr>
          <t>W</t>
        </r>
        <r>
          <rPr>
            <sz val="8"/>
            <rFont val="Tahoma"/>
            <family val="2"/>
          </rPr>
          <t xml:space="preserve">.
Use feet &amp; tenths of a foot.
</t>
        </r>
      </text>
    </comment>
    <comment ref="A16" authorId="0">
      <text>
        <r>
          <rPr>
            <sz val="8"/>
            <rFont val="Tahoma"/>
            <family val="2"/>
          </rPr>
          <t xml:space="preserve">This is the length of the peak. This amount is calculated using information entered above. However, if you enter an amount here that is greater than the amount calculated, the amount you enter will be used if you also enter an </t>
        </r>
        <r>
          <rPr>
            <sz val="8"/>
            <rFont val="Tahoma"/>
            <family val="2"/>
          </rPr>
          <t xml:space="preserve">amount for </t>
        </r>
        <r>
          <rPr>
            <b/>
            <sz val="8"/>
            <rFont val="Tahoma"/>
            <family val="2"/>
          </rPr>
          <t>H</t>
        </r>
        <r>
          <rPr>
            <sz val="8"/>
            <rFont val="Tahoma"/>
            <family val="2"/>
          </rPr>
          <t xml:space="preserve">. (It is assumed that </t>
        </r>
        <r>
          <rPr>
            <b/>
            <sz val="8"/>
            <rFont val="Tahoma"/>
            <family val="2"/>
          </rPr>
          <t>A</t>
        </r>
        <r>
          <rPr>
            <sz val="8"/>
            <rFont val="Tahoma"/>
            <family val="2"/>
          </rPr>
          <t xml:space="preserve"> is shorter than </t>
        </r>
        <r>
          <rPr>
            <b/>
            <sz val="8"/>
            <rFont val="Tahoma"/>
            <family val="2"/>
          </rPr>
          <t>B</t>
        </r>
        <r>
          <rPr>
            <sz val="8"/>
            <rFont val="Tahoma"/>
            <family val="2"/>
          </rPr>
          <t xml:space="preserve"> and </t>
        </r>
        <r>
          <rPr>
            <b/>
            <sz val="8"/>
            <rFont val="Tahoma"/>
            <family val="2"/>
          </rPr>
          <t>C</t>
        </r>
        <r>
          <rPr>
            <sz val="8"/>
            <rFont val="Tahoma"/>
            <family val="2"/>
          </rPr>
          <t xml:space="preserve">. If </t>
        </r>
        <r>
          <rPr>
            <b/>
            <sz val="8"/>
            <rFont val="Tahoma"/>
            <family val="2"/>
          </rPr>
          <t>A</t>
        </r>
        <r>
          <rPr>
            <sz val="8"/>
            <rFont val="Tahoma"/>
            <family val="2"/>
          </rPr>
          <t xml:space="preserve"> is equal to </t>
        </r>
        <r>
          <rPr>
            <b/>
            <sz val="8"/>
            <rFont val="Tahoma"/>
            <family val="2"/>
          </rPr>
          <t>B</t>
        </r>
        <r>
          <rPr>
            <sz val="8"/>
            <rFont val="Tahoma"/>
            <family val="2"/>
          </rPr>
          <t xml:space="preserve"> and / or </t>
        </r>
        <r>
          <rPr>
            <b/>
            <sz val="8"/>
            <rFont val="Tahoma"/>
            <family val="2"/>
          </rPr>
          <t>C</t>
        </r>
        <r>
          <rPr>
            <sz val="8"/>
            <rFont val="Tahoma"/>
            <family val="2"/>
          </rPr>
          <t xml:space="preserve">, you must enter an amount for </t>
        </r>
        <r>
          <rPr>
            <b/>
            <sz val="8"/>
            <rFont val="Tahoma"/>
            <family val="2"/>
          </rPr>
          <t>A</t>
        </r>
        <r>
          <rPr>
            <sz val="8"/>
            <rFont val="Tahoma"/>
            <family val="2"/>
          </rPr>
          <t xml:space="preserve"> and </t>
        </r>
        <r>
          <rPr>
            <b/>
            <sz val="8"/>
            <rFont val="Tahoma"/>
            <family val="2"/>
          </rPr>
          <t>H</t>
        </r>
        <r>
          <rPr>
            <sz val="8"/>
            <rFont val="Tahoma"/>
            <family val="2"/>
          </rPr>
          <t>.)          Use feet &amp; tenths of a foot.</t>
        </r>
      </text>
    </comment>
  </commentList>
</comments>
</file>

<file path=xl/sharedStrings.xml><?xml version="1.0" encoding="utf-8"?>
<sst xmlns="http://schemas.openxmlformats.org/spreadsheetml/2006/main" count="260" uniqueCount="216">
  <si>
    <t>Length</t>
  </si>
  <si>
    <t>Width</t>
  </si>
  <si>
    <t>Bin No.</t>
  </si>
  <si>
    <t>Zero Point</t>
  </si>
  <si>
    <t>Extreme Depth</t>
  </si>
  <si>
    <t>Top of Side Wall</t>
  </si>
  <si>
    <t>Deduct for Hopper Bottom</t>
  </si>
  <si>
    <t>Effective Depth</t>
  </si>
  <si>
    <t>Radius</t>
  </si>
  <si>
    <t>Bushels per Foot</t>
  </si>
  <si>
    <t>A</t>
  </si>
  <si>
    <t>B</t>
  </si>
  <si>
    <t>C</t>
  </si>
  <si>
    <t>D</t>
  </si>
  <si>
    <t>E</t>
  </si>
  <si>
    <t>F</t>
  </si>
  <si>
    <t>G</t>
  </si>
  <si>
    <t>H</t>
  </si>
  <si>
    <t>I</t>
  </si>
  <si>
    <t>J</t>
  </si>
  <si>
    <t>K</t>
  </si>
  <si>
    <t>L</t>
  </si>
  <si>
    <t>M</t>
  </si>
  <si>
    <t>Unpacked Capacity</t>
  </si>
  <si>
    <t>N</t>
  </si>
  <si>
    <t>+ Top Cone</t>
  </si>
  <si>
    <t>Total Grain Depth</t>
  </si>
  <si>
    <t>O</t>
  </si>
  <si>
    <t>P</t>
  </si>
  <si>
    <t>Q</t>
  </si>
  <si>
    <t>Rectangular Bins</t>
  </si>
  <si>
    <t>Round Bins</t>
  </si>
  <si>
    <t>Example #1</t>
  </si>
  <si>
    <t>Example #2</t>
  </si>
  <si>
    <t xml:space="preserve">      0     to    24.0</t>
  </si>
  <si>
    <t>&gt;  24.0  to    34.0</t>
  </si>
  <si>
    <t>&gt;  34.0  to    41.0</t>
  </si>
  <si>
    <t>&gt;  41.0  to    45.0</t>
  </si>
  <si>
    <t>&gt;  45.0  to    48.0</t>
  </si>
  <si>
    <t>&gt;  48.0  to    50.0</t>
  </si>
  <si>
    <t>&gt;  50.0  to    55.0</t>
  </si>
  <si>
    <t>&gt;  55.0  to    62.0</t>
  </si>
  <si>
    <t>&gt;  62.0  to    67.0</t>
  </si>
  <si>
    <t>&gt;  67.0  to    73.0</t>
  </si>
  <si>
    <t>&gt;  73.0  to    83.0</t>
  </si>
  <si>
    <t>&gt;  83.0  to    94.0</t>
  </si>
  <si>
    <t>&gt;  94.0  to  105.0</t>
  </si>
  <si>
    <t>&gt;105.0  to  120.0</t>
  </si>
  <si>
    <t>&gt;120.0  to  139.0</t>
  </si>
  <si>
    <t>&gt;139.0  to  157.0</t>
  </si>
  <si>
    <t>&gt;157.0  to  289.0</t>
  </si>
  <si>
    <t>&gt;289.0  to  317.0</t>
  </si>
  <si>
    <t>&gt;317.0  to  351.5</t>
  </si>
  <si>
    <t>&gt;351.5  to  382.0</t>
  </si>
  <si>
    <t>&gt;382.0  to  410.5</t>
  </si>
  <si>
    <t>&gt;410.5  to  453.5</t>
  </si>
  <si>
    <t>&gt;453.5  to  505.5</t>
  </si>
  <si>
    <t>&gt;505.5  to  547.5</t>
  </si>
  <si>
    <t>&gt;547.5  to  587.5</t>
  </si>
  <si>
    <t>&gt;587.5  to  638.5</t>
  </si>
  <si>
    <t>&gt;638.5   to  700.0</t>
  </si>
  <si>
    <t>&gt;700.0   to  751.5</t>
  </si>
  <si>
    <t>&gt;751.5</t>
  </si>
  <si>
    <t xml:space="preserve">      0     to    15.0</t>
  </si>
  <si>
    <t>&gt;  15.0  to    30.0</t>
  </si>
  <si>
    <t>&gt;  30.0  to    45.0</t>
  </si>
  <si>
    <t>&gt;  45.0  to    75.0</t>
  </si>
  <si>
    <t>&gt;  75.0  to  103.5</t>
  </si>
  <si>
    <t>&gt;103.5  to  123.5</t>
  </si>
  <si>
    <t>&gt;123.5  to  157.5</t>
  </si>
  <si>
    <t>&gt;157.5  to  189.0</t>
  </si>
  <si>
    <t>&gt;189.0  to  211.5</t>
  </si>
  <si>
    <t>&gt;211.5  to  228.0</t>
  </si>
  <si>
    <t>&gt;228.0  to  252.5</t>
  </si>
  <si>
    <t>&gt;252.5  to  278.5</t>
  </si>
  <si>
    <t>&gt;278.5  to  289.0</t>
  </si>
  <si>
    <t>&gt;638.5  to  700.0</t>
  </si>
  <si>
    <t>&gt;700.0  to  751.5</t>
  </si>
  <si>
    <t xml:space="preserve"> </t>
  </si>
  <si>
    <t>Total for 1 - 8 listed below.</t>
  </si>
  <si>
    <t>Total for 9 - 16 listed below.</t>
  </si>
  <si>
    <t>Row #</t>
  </si>
  <si>
    <t>W x H x (A + B + C)</t>
  </si>
  <si>
    <t>W =</t>
  </si>
  <si>
    <t>H =</t>
  </si>
  <si>
    <t>A =</t>
  </si>
  <si>
    <t>B =</t>
  </si>
  <si>
    <t>C =</t>
  </si>
  <si>
    <t>Angle of Repose</t>
  </si>
  <si>
    <r>
      <t>= ft.</t>
    </r>
    <r>
      <rPr>
        <vertAlign val="superscript"/>
        <sz val="8"/>
        <rFont val="Arial"/>
        <family val="2"/>
      </rPr>
      <t>3</t>
    </r>
  </si>
  <si>
    <t>(1/2 B - 1/2 A)</t>
  </si>
  <si>
    <t>You have entered an Angle of Repose &amp; a value for 'H' that are not compatible. Please delete one.</t>
  </si>
  <si>
    <r>
      <t xml:space="preserve">Calculated using </t>
    </r>
    <r>
      <rPr>
        <b/>
        <sz val="8"/>
        <rFont val="Arial"/>
        <family val="2"/>
      </rPr>
      <t>stated H</t>
    </r>
    <r>
      <rPr>
        <sz val="8"/>
        <rFont val="Arial"/>
        <family val="2"/>
      </rPr>
      <t xml:space="preserve"> &amp; </t>
    </r>
    <r>
      <rPr>
        <b/>
        <sz val="8"/>
        <rFont val="Arial"/>
        <family val="2"/>
      </rPr>
      <t>20° angle</t>
    </r>
    <r>
      <rPr>
        <sz val="8"/>
        <rFont val="Arial"/>
        <family val="2"/>
      </rPr>
      <t xml:space="preserve"> @ ends</t>
    </r>
  </si>
  <si>
    <t>You must enter either an Angle of Repose, or an amount for H.</t>
  </si>
  <si>
    <t>Volume=</t>
  </si>
  <si>
    <r>
      <t>WEDGE</t>
    </r>
    <r>
      <rPr>
        <sz val="7"/>
        <rFont val="Arial"/>
        <family val="2"/>
      </rPr>
      <t xml:space="preserve"> Volume = </t>
    </r>
  </si>
  <si>
    <t>Bus. / Ft.</t>
  </si>
  <si>
    <t>Bushels =</t>
  </si>
  <si>
    <t>Effective Height =</t>
  </si>
  <si>
    <t>You have entered a value for 'H' that results in an Angle of Repose greater than 30°. Please change.</t>
  </si>
  <si>
    <r>
      <t xml:space="preserve">Calculated using </t>
    </r>
    <r>
      <rPr>
        <b/>
        <sz val="8"/>
        <rFont val="Arial"/>
        <family val="2"/>
      </rPr>
      <t>stated A</t>
    </r>
  </si>
  <si>
    <t>existing bin, delete it first and add it with the new dimensions.</t>
  </si>
  <si>
    <t>For example, a large flat that has an office in one corner.</t>
  </si>
  <si>
    <t>number must correspond to the number on our bin capacity chart.</t>
  </si>
  <si>
    <t>If you don't know what the correct number is,</t>
  </si>
  <si>
    <t>please draw a picture of the whole facility.</t>
  </si>
  <si>
    <t>1 inch = 0.1', 2 inches = 0.2', 3 inches = 0.3', 4 inches = 0.3',</t>
  </si>
  <si>
    <t>5 inches = 0.4', 6 inches = 0.5', 7 inches = 0.6', 8 inches = 0.7',</t>
  </si>
  <si>
    <t>9 inches = 0.8', 10 inches = 0.8', 11 inches = 0.9'.</t>
  </si>
  <si>
    <t>is measured. For most warehouses it is the top of the side wall,</t>
  </si>
  <si>
    <t>quantity of grain in the warehouse.</t>
  </si>
  <si>
    <t>to the bottom of the warehouse.</t>
  </si>
  <si>
    <t>or pyramidal in shape, the deduction is equal to 2/3 of the height of</t>
  </si>
  <si>
    <t xml:space="preserve"> the hopper. (The height of the hopper is the length of a vertical line</t>
  </si>
  <si>
    <t>from the bottom of the warehouse's straight wall to the bottom of</t>
  </si>
  <si>
    <t>the hopper.) For hopper bottoms that form a right triangle from one</t>
  </si>
  <si>
    <t>side wall to the opposite side wall, the deduction is equal to 1/2 of</t>
  </si>
  <si>
    <t>(Approximately the same as 1/3 the height of a cone with an angle of 20°,</t>
  </si>
  <si>
    <t>at the side wall, up from a line perpendicular to the top of the side wall.)</t>
  </si>
  <si>
    <t>For square warehouses, this is equal to 1/3 the height of a cone with an</t>
  </si>
  <si>
    <t>angle of 20°, at the side wall, up from a line perpendicular to the top of</t>
  </si>
  <si>
    <r>
      <t xml:space="preserve">Use only </t>
    </r>
    <r>
      <rPr>
        <b/>
        <sz val="11"/>
        <rFont val="Arial"/>
        <family val="2"/>
      </rPr>
      <t>Add</t>
    </r>
    <r>
      <rPr>
        <sz val="11"/>
        <rFont val="Arial"/>
        <family val="2"/>
      </rPr>
      <t xml:space="preserve">, </t>
    </r>
    <r>
      <rPr>
        <b/>
        <sz val="11"/>
        <rFont val="Arial"/>
        <family val="2"/>
      </rPr>
      <t>Delete</t>
    </r>
    <r>
      <rPr>
        <sz val="11"/>
        <rFont val="Arial"/>
        <family val="2"/>
      </rPr>
      <t xml:space="preserve"> or </t>
    </r>
    <r>
      <rPr>
        <b/>
        <sz val="11"/>
        <rFont val="Arial"/>
        <family val="2"/>
      </rPr>
      <t>Adjust</t>
    </r>
    <r>
      <rPr>
        <sz val="11"/>
        <rFont val="Arial"/>
        <family val="2"/>
      </rPr>
      <t>.  If you are changing an</t>
    </r>
  </si>
  <si>
    <r>
      <t>Adjust</t>
    </r>
    <r>
      <rPr>
        <sz val="11"/>
        <rFont val="Arial"/>
        <family val="2"/>
      </rPr>
      <t xml:space="preserve"> is for changing the row above it.</t>
    </r>
  </si>
  <si>
    <r>
      <t xml:space="preserve"> subtract </t>
    </r>
    <r>
      <rPr>
        <b/>
        <sz val="11"/>
        <rFont val="Arial"/>
        <family val="2"/>
      </rPr>
      <t>Adjust BP%</t>
    </r>
    <r>
      <rPr>
        <sz val="11"/>
        <rFont val="Arial"/>
        <family val="2"/>
      </rPr>
      <t xml:space="preserve"> from </t>
    </r>
    <r>
      <rPr>
        <b/>
        <sz val="11"/>
        <rFont val="Arial"/>
        <family val="2"/>
      </rPr>
      <t>BP%</t>
    </r>
    <r>
      <rPr>
        <sz val="11"/>
        <rFont val="Arial"/>
        <family val="2"/>
      </rPr>
      <t xml:space="preserve"> above it.</t>
    </r>
  </si>
  <si>
    <r>
      <t>Bin Number</t>
    </r>
    <r>
      <rPr>
        <sz val="11"/>
        <rFont val="Arial"/>
        <family val="2"/>
      </rPr>
      <t>. If you are changing an existing bin, this</t>
    </r>
  </si>
  <si>
    <r>
      <t>Diameter</t>
    </r>
    <r>
      <rPr>
        <sz val="11"/>
        <rFont val="Arial"/>
        <family val="2"/>
      </rPr>
      <t>. If not empty and you cannot measure across</t>
    </r>
  </si>
  <si>
    <r>
      <t>Radius</t>
    </r>
    <r>
      <rPr>
        <sz val="11"/>
        <rFont val="Arial"/>
        <family val="2"/>
      </rPr>
      <t xml:space="preserve"> = 1/2 of the </t>
    </r>
    <r>
      <rPr>
        <b/>
        <sz val="11"/>
        <rFont val="Arial"/>
        <family val="2"/>
      </rPr>
      <t>Diameter</t>
    </r>
    <r>
      <rPr>
        <sz val="11"/>
        <rFont val="Arial"/>
        <family val="2"/>
      </rPr>
      <t>.</t>
    </r>
  </si>
  <si>
    <r>
      <t xml:space="preserve">For a round warehouse, </t>
    </r>
    <r>
      <rPr>
        <b/>
        <sz val="11"/>
        <rFont val="Arial"/>
        <family val="2"/>
      </rPr>
      <t>Area = Pi x Radius</t>
    </r>
    <r>
      <rPr>
        <b/>
        <vertAlign val="superscript"/>
        <sz val="11"/>
        <rFont val="Arial"/>
        <family val="2"/>
      </rPr>
      <t>2</t>
    </r>
    <r>
      <rPr>
        <sz val="11"/>
        <rFont val="Arial"/>
        <family val="2"/>
      </rPr>
      <t>. (Pi = 3.14159265).</t>
    </r>
  </si>
  <si>
    <r>
      <t>Zero Point</t>
    </r>
    <r>
      <rPr>
        <sz val="11"/>
        <rFont val="Arial"/>
        <family val="2"/>
      </rPr>
      <t xml:space="preserve">. This is the point from which the </t>
    </r>
    <r>
      <rPr>
        <b/>
        <sz val="11"/>
        <rFont val="Arial"/>
        <family val="2"/>
      </rPr>
      <t>Extreme Depth</t>
    </r>
  </si>
  <si>
    <r>
      <t>Extreme Depth</t>
    </r>
    <r>
      <rPr>
        <sz val="11"/>
        <rFont val="Arial"/>
        <family val="2"/>
      </rPr>
      <t xml:space="preserve">. This is the distance from the </t>
    </r>
    <r>
      <rPr>
        <b/>
        <sz val="11"/>
        <rFont val="Arial"/>
        <family val="2"/>
      </rPr>
      <t>Zero Point</t>
    </r>
  </si>
  <si>
    <r>
      <t>Deduct for Hopper Bottom</t>
    </r>
    <r>
      <rPr>
        <sz val="11"/>
        <rFont val="Arial"/>
        <family val="2"/>
      </rPr>
      <t>. For hopper bottoms that are conical</t>
    </r>
  </si>
  <si>
    <r>
      <t>Effective Depth</t>
    </r>
    <r>
      <rPr>
        <sz val="11"/>
        <rFont val="Arial"/>
        <family val="2"/>
      </rPr>
      <t xml:space="preserve">. The length of a vertical line from the </t>
    </r>
    <r>
      <rPr>
        <b/>
        <sz val="11"/>
        <rFont val="Arial"/>
        <family val="2"/>
      </rPr>
      <t>Zero Point</t>
    </r>
  </si>
  <si>
    <r>
      <t>+ Top Cone</t>
    </r>
    <r>
      <rPr>
        <sz val="11"/>
        <rFont val="Arial"/>
        <family val="2"/>
      </rPr>
      <t>. For round warehouses, this is equal to 6% of the diameter.</t>
    </r>
  </si>
  <si>
    <r>
      <t xml:space="preserve">divided by 6, divided by 1.244, and divided again by </t>
    </r>
    <r>
      <rPr>
        <b/>
        <sz val="11"/>
        <rFont val="Arial"/>
        <family val="2"/>
      </rPr>
      <t>Bushels per Foot</t>
    </r>
    <r>
      <rPr>
        <sz val="11"/>
        <rFont val="Arial"/>
        <family val="2"/>
      </rPr>
      <t>.</t>
    </r>
  </si>
  <si>
    <t>Round Warehouses</t>
  </si>
  <si>
    <t>Warehouses with Square Corners</t>
  </si>
  <si>
    <r>
      <t>= ft.</t>
    </r>
    <r>
      <rPr>
        <vertAlign val="superscript"/>
        <sz val="10"/>
        <rFont val="Arial"/>
        <family val="2"/>
      </rPr>
      <t>3</t>
    </r>
  </si>
  <si>
    <r>
      <t>WEDGE</t>
    </r>
    <r>
      <rPr>
        <sz val="10"/>
        <rFont val="Arial"/>
        <family val="2"/>
      </rPr>
      <t xml:space="preserve"> Volume = </t>
    </r>
  </si>
  <si>
    <r>
      <t xml:space="preserve">shape of the warehouse according to </t>
    </r>
    <r>
      <rPr>
        <b/>
        <sz val="11"/>
        <rFont val="Arial"/>
        <family val="2"/>
      </rPr>
      <t>Table #1</t>
    </r>
    <r>
      <rPr>
        <sz val="11"/>
        <rFont val="Arial"/>
        <family val="2"/>
      </rPr>
      <t xml:space="preserve"> or </t>
    </r>
    <r>
      <rPr>
        <b/>
        <sz val="11"/>
        <rFont val="Arial"/>
        <family val="2"/>
      </rPr>
      <t>Table #2</t>
    </r>
    <r>
      <rPr>
        <sz val="11"/>
        <rFont val="Arial"/>
        <family val="2"/>
      </rPr>
      <t>.</t>
    </r>
  </si>
  <si>
    <t>if it can be reached without endangering safety. This is also the</t>
  </si>
  <si>
    <t>point from which measurements are taken for determining the</t>
  </si>
  <si>
    <t>Location Address (If same as above, enter 'SAME AS ABOVE'.)</t>
  </si>
  <si>
    <t>If you need more than one form, please make</t>
  </si>
  <si>
    <t>a copy before entering information on the form.</t>
  </si>
  <si>
    <t xml:space="preserve">B =  </t>
  </si>
  <si>
    <t xml:space="preserve">C =  </t>
  </si>
  <si>
    <t xml:space="preserve">W =  </t>
  </si>
  <si>
    <t xml:space="preserve">H =  </t>
  </si>
  <si>
    <t xml:space="preserve">A =  </t>
  </si>
  <si>
    <t xml:space="preserve">Angle of Repose°  </t>
  </si>
  <si>
    <t>and divide that amount by Pi (3.14159265).</t>
  </si>
  <si>
    <t>the inside, measure around the outside (the circumference)</t>
  </si>
  <si>
    <r>
      <t xml:space="preserve">Measured in feet &amp; </t>
    </r>
    <r>
      <rPr>
        <b/>
        <sz val="10"/>
        <rFont val="Arial"/>
        <family val="2"/>
      </rPr>
      <t>hundredths</t>
    </r>
    <r>
      <rPr>
        <sz val="11"/>
        <rFont val="Arial"/>
        <family val="2"/>
      </rPr>
      <t xml:space="preserve"> of a foot.</t>
    </r>
  </si>
  <si>
    <r>
      <t xml:space="preserve">Measured in feet &amp; </t>
    </r>
    <r>
      <rPr>
        <b/>
        <sz val="10"/>
        <rFont val="Arial"/>
        <family val="2"/>
      </rPr>
      <t>tenths</t>
    </r>
    <r>
      <rPr>
        <sz val="11"/>
        <rFont val="Arial"/>
        <family val="2"/>
      </rPr>
      <t xml:space="preserve"> of a foot.</t>
    </r>
  </si>
  <si>
    <r>
      <t>Length</t>
    </r>
    <r>
      <rPr>
        <sz val="11"/>
        <rFont val="Arial"/>
        <family val="2"/>
      </rPr>
      <t xml:space="preserve">. Measured in feet &amp; </t>
    </r>
    <r>
      <rPr>
        <b/>
        <sz val="10"/>
        <rFont val="Arial"/>
        <family val="2"/>
      </rPr>
      <t>tenths</t>
    </r>
    <r>
      <rPr>
        <sz val="11"/>
        <rFont val="Arial"/>
        <family val="2"/>
      </rPr>
      <t xml:space="preserve"> of a foot.</t>
    </r>
  </si>
  <si>
    <r>
      <t>Width</t>
    </r>
    <r>
      <rPr>
        <sz val="11"/>
        <rFont val="Arial"/>
        <family val="2"/>
      </rPr>
      <t xml:space="preserve">. Measured in feet &amp; </t>
    </r>
    <r>
      <rPr>
        <b/>
        <sz val="10"/>
        <rFont val="Arial"/>
        <family val="2"/>
      </rPr>
      <t>tenths</t>
    </r>
    <r>
      <rPr>
        <sz val="11"/>
        <rFont val="Arial"/>
        <family val="2"/>
      </rPr>
      <t xml:space="preserve"> of a foot.</t>
    </r>
  </si>
  <si>
    <r>
      <t>Area of Floor</t>
    </r>
    <r>
      <rPr>
        <sz val="11"/>
        <rFont val="Arial"/>
        <family val="2"/>
      </rPr>
      <t>. (Show to 4 decimal places.)</t>
    </r>
  </si>
  <si>
    <r>
      <t xml:space="preserve">For a warehouse with square corners, </t>
    </r>
    <r>
      <rPr>
        <b/>
        <sz val="11"/>
        <rFont val="Arial"/>
        <family val="2"/>
      </rPr>
      <t>Area = Length x Width</t>
    </r>
    <r>
      <rPr>
        <sz val="11"/>
        <rFont val="Arial"/>
        <family val="2"/>
      </rPr>
      <t>.</t>
    </r>
  </si>
  <si>
    <r>
      <t>Bushels per Foot</t>
    </r>
    <r>
      <rPr>
        <sz val="11"/>
        <rFont val="Arial"/>
        <family val="2"/>
      </rPr>
      <t>. (Show to 4 decimal places.)</t>
    </r>
  </si>
  <si>
    <r>
      <t>foot above the floor. The result is volume (ft.</t>
    </r>
    <r>
      <rPr>
        <vertAlign val="superscript"/>
        <sz val="11"/>
        <rFont val="Arial"/>
        <family val="2"/>
      </rPr>
      <t>3</t>
    </r>
    <r>
      <rPr>
        <sz val="11"/>
        <rFont val="Arial"/>
        <family val="2"/>
      </rPr>
      <t>) in the same</t>
    </r>
  </si>
  <si>
    <r>
      <t>amount as the area. The volume of a bushel is 1.244 ft.</t>
    </r>
    <r>
      <rPr>
        <vertAlign val="superscript"/>
        <sz val="11"/>
        <rFont val="Arial"/>
        <family val="2"/>
      </rPr>
      <t>3</t>
    </r>
  </si>
  <si>
    <r>
      <t xml:space="preserve">the height of the hopper. Measured in feet &amp; </t>
    </r>
    <r>
      <rPr>
        <b/>
        <sz val="10"/>
        <rFont val="Arial"/>
        <family val="2"/>
      </rPr>
      <t>hundredths</t>
    </r>
    <r>
      <rPr>
        <sz val="11"/>
        <rFont val="Arial"/>
        <family val="2"/>
      </rPr>
      <t xml:space="preserve"> of a foot.</t>
    </r>
  </si>
  <si>
    <t>to the bottom of a warehouse with a flat floor. (Equals J - K.)</t>
  </si>
  <si>
    <t>(Show to 4 decimal places.)</t>
  </si>
  <si>
    <r>
      <t>Total Grain Dept</t>
    </r>
    <r>
      <rPr>
        <sz val="11"/>
        <rFont val="Arial"/>
        <family val="2"/>
      </rPr>
      <t xml:space="preserve">h = </t>
    </r>
    <r>
      <rPr>
        <b/>
        <sz val="11"/>
        <rFont val="Arial"/>
        <family val="2"/>
      </rPr>
      <t>Effective Depth</t>
    </r>
    <r>
      <rPr>
        <sz val="11"/>
        <rFont val="Arial"/>
        <family val="2"/>
      </rPr>
      <t xml:space="preserve"> (L)+ </t>
    </r>
    <r>
      <rPr>
        <b/>
        <sz val="11"/>
        <rFont val="Arial"/>
        <family val="2"/>
      </rPr>
      <t>Top Cone</t>
    </r>
    <r>
      <rPr>
        <sz val="11"/>
        <rFont val="Arial"/>
        <family val="2"/>
      </rPr>
      <t xml:space="preserve"> (M).</t>
    </r>
    <r>
      <rPr>
        <sz val="8"/>
        <rFont val="Arial"/>
        <family val="2"/>
      </rPr>
      <t xml:space="preserve"> (Show to 4 decimal places.)</t>
    </r>
  </si>
  <si>
    <r>
      <t>Unpacked Capacity</t>
    </r>
    <r>
      <rPr>
        <sz val="11"/>
        <rFont val="Arial"/>
        <family val="2"/>
      </rPr>
      <t xml:space="preserve"> = </t>
    </r>
    <r>
      <rPr>
        <b/>
        <sz val="11"/>
        <rFont val="Arial"/>
        <family val="2"/>
      </rPr>
      <t>Bushels per Foot</t>
    </r>
    <r>
      <rPr>
        <sz val="11"/>
        <rFont val="Arial"/>
        <family val="2"/>
      </rPr>
      <t xml:space="preserve"> (H) x </t>
    </r>
    <r>
      <rPr>
        <b/>
        <sz val="11"/>
        <rFont val="Arial"/>
        <family val="2"/>
      </rPr>
      <t>Total Grain Depth</t>
    </r>
    <r>
      <rPr>
        <sz val="11"/>
        <rFont val="Arial"/>
        <family val="2"/>
      </rPr>
      <t xml:space="preserve"> (N).</t>
    </r>
    <r>
      <rPr>
        <sz val="8"/>
        <rFont val="Arial"/>
        <family val="2"/>
      </rPr>
      <t xml:space="preserve"> (Show to 2 decimal places.)</t>
    </r>
  </si>
  <si>
    <t>Volume</t>
  </si>
  <si>
    <t>Effective Height of Cone</t>
  </si>
  <si>
    <t>Net Bushel Amount in Cone</t>
  </si>
  <si>
    <t>the side wall. (Do not use, if packed bushels in the wedge are less than 500.)</t>
  </si>
  <si>
    <t xml:space="preserve"> For rectangular warehouses, use the following formula: W x H x (A + B + C),</t>
  </si>
  <si>
    <t>Total for 17 - 24 listed below.</t>
  </si>
  <si>
    <t>Add</t>
  </si>
  <si>
    <t>Delete</t>
  </si>
  <si>
    <r>
      <t>Multiply the area of the floor (ft.</t>
    </r>
    <r>
      <rPr>
        <vertAlign val="superscript"/>
        <sz val="8.25"/>
        <rFont val="Arial"/>
        <family val="2"/>
      </rPr>
      <t>2</t>
    </r>
    <r>
      <rPr>
        <sz val="11"/>
        <rFont val="Arial"/>
        <family val="2"/>
      </rPr>
      <t>) by the height of the first</t>
    </r>
  </si>
  <si>
    <t>Pack Factor  Table #1</t>
  </si>
  <si>
    <t>Pack Factor  Table #2</t>
  </si>
  <si>
    <t>Pack Factor</t>
  </si>
  <si>
    <t>When choosing a Pack Factor for the row above,</t>
  </si>
  <si>
    <r>
      <t>Pack Factor</t>
    </r>
    <r>
      <rPr>
        <sz val="11"/>
        <rFont val="Arial"/>
        <family val="2"/>
      </rPr>
      <t xml:space="preserve">. This is based on </t>
    </r>
    <r>
      <rPr>
        <b/>
        <sz val="11"/>
        <rFont val="Arial"/>
        <family val="2"/>
      </rPr>
      <t>Bushels per Foot</t>
    </r>
    <r>
      <rPr>
        <sz val="11"/>
        <rFont val="Arial"/>
        <family val="2"/>
      </rPr>
      <t xml:space="preserve"> and the</t>
    </r>
  </si>
  <si>
    <r>
      <t>Capacity</t>
    </r>
    <r>
      <rPr>
        <sz val="11"/>
        <rFont val="Arial"/>
        <family val="2"/>
      </rPr>
      <t xml:space="preserve"> with Pack Factor = </t>
    </r>
    <r>
      <rPr>
        <b/>
        <sz val="11"/>
        <rFont val="Arial"/>
        <family val="2"/>
      </rPr>
      <t>Unpacked Capacity</t>
    </r>
    <r>
      <rPr>
        <sz val="11"/>
        <rFont val="Arial"/>
        <family val="2"/>
      </rPr>
      <t xml:space="preserve"> (O)</t>
    </r>
  </si>
  <si>
    <r>
      <t>x (Pack Factor (P)).</t>
    </r>
    <r>
      <rPr>
        <sz val="8"/>
        <rFont val="Arial"/>
        <family val="2"/>
      </rPr>
      <t xml:space="preserve"> (Show to 2 decimal places.)</t>
    </r>
  </si>
  <si>
    <r>
      <t>Capacity</t>
    </r>
    <r>
      <rPr>
        <sz val="8"/>
        <rFont val="Arial"/>
        <family val="2"/>
      </rPr>
      <t xml:space="preserve"> </t>
    </r>
    <r>
      <rPr>
        <sz val="7"/>
        <rFont val="Arial"/>
        <family val="2"/>
      </rPr>
      <t>with Pack Factor</t>
    </r>
  </si>
  <si>
    <r>
      <t>&gt;</t>
    </r>
    <r>
      <rPr>
        <sz val="10"/>
        <rFont val="Arial"/>
        <family val="2"/>
      </rPr>
      <t xml:space="preserve"> means more than</t>
    </r>
  </si>
  <si>
    <t>Square or Rectangular Bins</t>
  </si>
  <si>
    <t>Round to nearest tenth of a foot.</t>
  </si>
  <si>
    <t>Total - All Bins Listed on Page:</t>
  </si>
  <si>
    <t>calculated</t>
  </si>
  <si>
    <t>Usually "Top of Sidewall"</t>
  </si>
  <si>
    <t>Diameter (round bins)</t>
  </si>
  <si>
    <t>Show to 4 decimal places</t>
  </si>
  <si>
    <t>Area of Floor</t>
  </si>
  <si>
    <t>see table</t>
  </si>
  <si>
    <r>
      <t xml:space="preserve"> Ft</t>
    </r>
    <r>
      <rPr>
        <vertAlign val="superscript"/>
        <sz val="8.5"/>
        <rFont val="Arial"/>
        <family val="2"/>
      </rPr>
      <t>2</t>
    </r>
  </si>
  <si>
    <t>Instructions on Back</t>
  </si>
  <si>
    <t>2 decimal places</t>
  </si>
  <si>
    <t>for</t>
  </si>
  <si>
    <t>Stated Top Cone</t>
  </si>
  <si>
    <t>This form is authorized under chapter 126, Wis. Stats.  This form contains personally identifiable information which may be used for purposes other than that for which it was collected, but only as authorized by law.  [s.15.04(1)(m), Wis. Stats.]</t>
  </si>
  <si>
    <t>Top of Sidewall</t>
  </si>
  <si>
    <t>+ Ag Bag</t>
  </si>
  <si>
    <t>- Ag Bag</t>
  </si>
  <si>
    <t>Ag Bag %</t>
  </si>
  <si>
    <t>match</t>
  </si>
  <si>
    <t>for vlookup</t>
  </si>
  <si>
    <t>% increase</t>
  </si>
  <si>
    <t xml:space="preserve">                Length &gt;
Diameter↓</t>
  </si>
  <si>
    <t>Adjust</t>
  </si>
  <si>
    <t>&lt; not used</t>
  </si>
  <si>
    <t>factor for ag bags =</t>
  </si>
  <si>
    <t>for formulas</t>
  </si>
  <si>
    <t>&lt; replaces values in table AK6 to AO8</t>
  </si>
  <si>
    <t>for length &amp; width + bag</t>
  </si>
  <si>
    <t>TR-GR-2A(Rev 11/11)</t>
  </si>
  <si>
    <t xml:space="preserve"> Add or Delete &amp; more</t>
  </si>
  <si>
    <r>
      <rPr>
        <b/>
        <sz val="8.4"/>
        <rFont val="Arial"/>
        <family val="2"/>
      </rPr>
      <t>NAME</t>
    </r>
    <r>
      <rPr>
        <sz val="7"/>
        <rFont val="Arial"/>
        <family val="2"/>
      </rPr>
      <t xml:space="preserve"> &amp; Location Address (Street &amp; Number; Post Office + Zip Code; County)</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</si>
</sst>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Red]\-#,##0.00"/>
    <numFmt numFmtId="167" formatCode="0.00&quot;°&quot;"/>
    <numFmt numFmtId="168" formatCode="#,##0.00&quot;'&quot;;[Red]\-#,##0.00&quot;'&quot;"/>
    <numFmt numFmtId="169" formatCode="0.0000"/>
    <numFmt numFmtId="170" formatCode="0.00000"/>
    <numFmt numFmtId="171" formatCode="0.000000"/>
    <numFmt numFmtId="172" formatCode="#,##0.00&quot; ft.3&quot;;[Red]\-#,##0.00&quot; ft.3&quot;"/>
    <numFmt numFmtId="173" formatCode="#,##0.00&quot; ft.^3&quot;;[Red]\-#,##0.00&quot; ft.^3&quot;"/>
    <numFmt numFmtId="174" formatCode="#,##0.00&quot; bus. / ft.&quot;;[Red]\-#,##0.00&quot; bus. / ft.&quot;"/>
    <numFmt numFmtId="175" formatCode="#,##0.00&quot; Bus.&quot;"/>
    <numFmt numFmtId="176" formatCode="#,##0.00&quot;' Effective Height of Cone / Wedge&quot;;[Red]\-#,##0.00&quot;'&quot;"/>
    <numFmt numFmtId="177" formatCode="#,##0.00&quot;' Effective Height of Cone / Wedge&quot;;[Red]\-#,##0.00&quot;' Effective Height of Cone / Wedge&quot;"/>
    <numFmt numFmtId="178" formatCode="#,##0.0000&quot;' Effective Height of Cone / Wedge&quot;;[Red]\-#,##0.00&quot;' Effective Height of Cone / Wedge&quot;"/>
    <numFmt numFmtId="179" formatCode="#,##0.000"/>
    <numFmt numFmtId="180" formatCode="#,##0.0000"/>
    <numFmt numFmtId="181" formatCode="#,##0.00&quot; Bus. in Cone / Wedge&quot;"/>
    <numFmt numFmtId="182" formatCode="0.0%&quot; Base Pack&quot;"/>
    <numFmt numFmtId="183" formatCode="#,##0.000&quot;'&quot;;[Red]\-#,##0.000&quot;'&quot;"/>
    <numFmt numFmtId="184" formatCode="#,##0.0000&quot;'&quot;;[Red]\-#,##0.0000&quot;'&quot;"/>
    <numFmt numFmtId="185" formatCode="#,##0.0"/>
    <numFmt numFmtId="186" formatCode="0.000"/>
    <numFmt numFmtId="187" formatCode="\+#,##0.00_);[Red]\-#,##0.00"/>
    <numFmt numFmtId="188" formatCode="#,##0.000000"/>
    <numFmt numFmtId="189" formatCode="0.0000000000"/>
    <numFmt numFmtId="190" formatCode="0.0000000000%"/>
  </numFmts>
  <fonts count="86">
    <font>
      <sz val="10"/>
      <name val="Arial"/>
      <family val="0"/>
    </font>
    <font>
      <sz val="8"/>
      <name val="Arial"/>
      <family val="2"/>
    </font>
    <font>
      <sz val="7"/>
      <name val="Arial"/>
      <family val="2"/>
    </font>
    <font>
      <sz val="5"/>
      <name val="Arial"/>
      <family val="2"/>
    </font>
    <font>
      <sz val="14"/>
      <name val="Arial"/>
      <family val="2"/>
    </font>
    <font>
      <sz val="7.5"/>
      <name val="Arial"/>
      <family val="2"/>
    </font>
    <font>
      <sz val="6"/>
      <name val="Arial"/>
      <family val="2"/>
    </font>
    <font>
      <sz val="8"/>
      <color indexed="10"/>
      <name val="Arial"/>
      <family val="2"/>
    </font>
    <font>
      <b/>
      <sz val="5"/>
      <name val="Arial"/>
      <family val="2"/>
    </font>
    <font>
      <sz val="9"/>
      <name val="Arial"/>
      <family val="2"/>
    </font>
    <font>
      <sz val="8"/>
      <name val="Tahoma"/>
      <family val="2"/>
    </font>
    <font>
      <vertAlign val="superscript"/>
      <sz val="8"/>
      <name val="Tahoma"/>
      <family val="2"/>
    </font>
    <font>
      <b/>
      <sz val="8"/>
      <name val="Tahoma"/>
      <family val="2"/>
    </font>
    <font>
      <b/>
      <sz val="7"/>
      <name val="Tahoma"/>
      <family val="2"/>
    </font>
    <font>
      <b/>
      <sz val="10"/>
      <name val="Arial"/>
      <family val="2"/>
    </font>
    <font>
      <b/>
      <sz val="8"/>
      <name val="Arial"/>
      <family val="2"/>
    </font>
    <font>
      <vertAlign val="superscript"/>
      <sz val="8"/>
      <name val="Arial"/>
      <family val="2"/>
    </font>
    <font>
      <b/>
      <sz val="8"/>
      <color indexed="10"/>
      <name val="Arial"/>
      <family val="2"/>
    </font>
    <font>
      <b/>
      <sz val="7"/>
      <name val="Arial"/>
      <family val="2"/>
    </font>
    <font>
      <u val="single"/>
      <sz val="7"/>
      <name val="Arial"/>
      <family val="2"/>
    </font>
    <font>
      <b/>
      <sz val="8"/>
      <color indexed="60"/>
      <name val="Arial"/>
      <family val="2"/>
    </font>
    <font>
      <vertAlign val="superscript"/>
      <sz val="10"/>
      <name val="Arial"/>
      <family val="2"/>
    </font>
    <font>
      <sz val="11"/>
      <name val="Arial"/>
      <family val="2"/>
    </font>
    <font>
      <b/>
      <sz val="11"/>
      <name val="Arial"/>
      <family val="2"/>
    </font>
    <font>
      <b/>
      <vertAlign val="superscript"/>
      <sz val="11"/>
      <name val="Arial"/>
      <family val="2"/>
    </font>
    <font>
      <vertAlign val="superscript"/>
      <sz val="11"/>
      <name val="Arial"/>
      <family val="2"/>
    </font>
    <font>
      <b/>
      <sz val="12"/>
      <name val="Arial"/>
      <family val="2"/>
    </font>
    <font>
      <u val="single"/>
      <sz val="10"/>
      <name val="Arial"/>
      <family val="2"/>
    </font>
    <font>
      <sz val="8"/>
      <color indexed="60"/>
      <name val="Arial"/>
      <family val="2"/>
    </font>
    <font>
      <sz val="8"/>
      <color indexed="8"/>
      <name val="Arial"/>
      <family val="2"/>
    </font>
    <font>
      <vertAlign val="superscript"/>
      <sz val="8.25"/>
      <name val="Arial"/>
      <family val="2"/>
    </font>
    <font>
      <b/>
      <sz val="7.5"/>
      <name val="Arial"/>
      <family val="2"/>
    </font>
    <font>
      <sz val="9"/>
      <name val="Tahoma"/>
      <family val="2"/>
    </font>
    <font>
      <vertAlign val="superscript"/>
      <sz val="8.5"/>
      <name val="Arial"/>
      <family val="2"/>
    </font>
    <font>
      <u val="single"/>
      <sz val="10"/>
      <color indexed="12"/>
      <name val="Arial"/>
      <family val="2"/>
    </font>
    <font>
      <u val="single"/>
      <sz val="10"/>
      <color indexed="36"/>
      <name val="Arial"/>
      <family val="2"/>
    </font>
    <font>
      <b/>
      <sz val="10"/>
      <color indexed="18"/>
      <name val="Arial"/>
      <family val="2"/>
    </font>
    <font>
      <sz val="6"/>
      <color indexed="18"/>
      <name val="Arial"/>
      <family val="2"/>
    </font>
    <font>
      <b/>
      <sz val="11"/>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8"/>
      <color indexed="62"/>
      <name val="Arial"/>
      <family val="2"/>
    </font>
    <font>
      <sz val="7"/>
      <color indexed="10"/>
      <name val="Arial"/>
      <family val="2"/>
    </font>
    <font>
      <sz val="6"/>
      <color indexed="10"/>
      <name val="Arial"/>
      <family val="2"/>
    </font>
    <font>
      <b/>
      <sz val="10"/>
      <color indexed="62"/>
      <name val="Arial"/>
      <family val="2"/>
    </font>
    <font>
      <b/>
      <sz val="10"/>
      <color indexed="10"/>
      <name val="Arial"/>
      <family val="2"/>
    </font>
    <font>
      <b/>
      <sz val="8.4"/>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3"/>
      <name val="Arial"/>
      <family val="2"/>
    </font>
    <font>
      <sz val="8"/>
      <color rgb="FFC00000"/>
      <name val="Arial"/>
      <family val="2"/>
    </font>
    <font>
      <sz val="7"/>
      <color rgb="FFFF0000"/>
      <name val="Arial"/>
      <family val="2"/>
    </font>
    <font>
      <sz val="6"/>
      <color rgb="FFFF0000"/>
      <name val="Arial"/>
      <family val="2"/>
    </font>
    <font>
      <b/>
      <sz val="10"/>
      <color theme="3" tint="-0.24997000396251678"/>
      <name val="Arial"/>
      <family val="2"/>
    </font>
    <font>
      <sz val="8"/>
      <color theme="9" tint="-0.4999699890613556"/>
      <name val="Arial"/>
      <family val="2"/>
    </font>
    <font>
      <b/>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CCFF33"/>
        <bgColor indexed="64"/>
      </patternFill>
    </fill>
    <fill>
      <patternFill patternType="solid">
        <fgColor rgb="FFC1D9D2"/>
        <bgColor indexed="64"/>
      </patternFill>
    </fill>
    <fill>
      <patternFill patternType="solid">
        <fgColor rgb="FFE2E2E2"/>
        <bgColor indexed="64"/>
      </patternFill>
    </fill>
    <fill>
      <patternFill patternType="solid">
        <fgColor rgb="FFD2E4DF"/>
        <bgColor indexed="64"/>
      </patternFill>
    </fill>
    <fill>
      <patternFill patternType="solid">
        <fgColor rgb="FFE3EAA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thin">
        <color indexed="63"/>
      </left>
      <right style="thin">
        <color indexed="9"/>
      </right>
      <top style="thin">
        <color indexed="9"/>
      </top>
      <bottom style="thin">
        <color indexed="9"/>
      </bottom>
    </border>
    <border>
      <left style="thin">
        <color indexed="8"/>
      </left>
      <right style="thin">
        <color indexed="9"/>
      </right>
      <top style="thin">
        <color indexed="9"/>
      </top>
      <bottom style="thin">
        <color indexed="9"/>
      </bottom>
    </border>
    <border>
      <left style="thin">
        <color indexed="63"/>
      </left>
      <right style="thin">
        <color indexed="9"/>
      </right>
      <top style="thin">
        <color indexed="9"/>
      </top>
      <bottom>
        <color indexed="63"/>
      </bottom>
    </border>
    <border>
      <left style="thin">
        <color indexed="8"/>
      </left>
      <right>
        <color indexed="63"/>
      </right>
      <top style="thin">
        <color indexed="9"/>
      </top>
      <bottom style="thin">
        <color indexed="8"/>
      </bottom>
    </border>
    <border>
      <left style="thin">
        <color indexed="9"/>
      </left>
      <right style="thin">
        <color indexed="9"/>
      </right>
      <top style="thin">
        <color indexed="8"/>
      </top>
      <bottom style="thin">
        <color indexed="9"/>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thin"/>
    </border>
    <border>
      <left>
        <color indexed="63"/>
      </left>
      <right>
        <color indexed="63"/>
      </right>
      <top style="thin"/>
      <bottom>
        <color indexed="63"/>
      </bottom>
    </border>
    <border>
      <left style="thin">
        <color indexed="9"/>
      </left>
      <right style="thin"/>
      <top style="thin"/>
      <bottom style="thin"/>
    </border>
    <border>
      <left style="thin"/>
      <right style="thin"/>
      <top style="thin"/>
      <bottom style="thin"/>
    </border>
    <border>
      <left style="thin"/>
      <right style="thin">
        <color indexed="9"/>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hair">
        <color theme="5" tint="-0.4999699890613556"/>
      </left>
      <right style="hair">
        <color theme="5" tint="-0.4999699890613556"/>
      </right>
      <top style="hair">
        <color theme="5" tint="-0.4999699890613556"/>
      </top>
      <bottom style="hair">
        <color theme="5" tint="-0.4999699890613556"/>
      </bottom>
    </border>
    <border>
      <left>
        <color indexed="63"/>
      </left>
      <right style="hair"/>
      <top style="hair"/>
      <bottom style="hair"/>
    </border>
    <border>
      <left style="thin">
        <color theme="4" tint="-0.4999699890613556"/>
      </left>
      <right style="thin">
        <color theme="4" tint="-0.4999699890613556"/>
      </right>
      <top style="thin">
        <color theme="4" tint="-0.4999699890613556"/>
      </top>
      <bottom style="thin">
        <color theme="4" tint="-0.4999699890613556"/>
      </bottom>
    </border>
    <border>
      <left>
        <color indexed="63"/>
      </left>
      <right style="thin">
        <color theme="4" tint="-0.4999699890613556"/>
      </right>
      <top style="thin">
        <color theme="4" tint="-0.4999699890613556"/>
      </top>
      <bottom style="thin">
        <color theme="4" tint="-0.4999699890613556"/>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65">
    <xf numFmtId="0" fontId="0" fillId="0" borderId="0" xfId="0" applyAlignment="1">
      <alignment/>
    </xf>
    <xf numFmtId="0" fontId="1" fillId="0" borderId="0" xfId="0" applyFont="1" applyAlignment="1">
      <alignment/>
    </xf>
    <xf numFmtId="164" fontId="1" fillId="0" borderId="0" xfId="0" applyNumberFormat="1" applyFont="1" applyAlignment="1">
      <alignment/>
    </xf>
    <xf numFmtId="164" fontId="1" fillId="0" borderId="0" xfId="0" applyNumberFormat="1" applyFont="1" applyAlignment="1">
      <alignment horizontal="center"/>
    </xf>
    <xf numFmtId="165" fontId="1" fillId="0" borderId="0" xfId="0" applyNumberFormat="1" applyFont="1" applyAlignment="1">
      <alignment/>
    </xf>
    <xf numFmtId="165" fontId="1" fillId="0" borderId="0" xfId="0" applyNumberFormat="1" applyFont="1" applyAlignment="1">
      <alignment horizontal="center"/>
    </xf>
    <xf numFmtId="168" fontId="1" fillId="0" borderId="0" xfId="0" applyNumberFormat="1" applyFont="1" applyAlignment="1">
      <alignment/>
    </xf>
    <xf numFmtId="0" fontId="1" fillId="0" borderId="0" xfId="0" applyFont="1" applyAlignment="1">
      <alignment horizontal="center" shrinkToFit="1"/>
    </xf>
    <xf numFmtId="167" fontId="1" fillId="0" borderId="0" xfId="0" applyNumberFormat="1" applyFont="1" applyAlignment="1">
      <alignment/>
    </xf>
    <xf numFmtId="0" fontId="1" fillId="0" borderId="10" xfId="0" applyFont="1" applyBorder="1" applyAlignment="1">
      <alignment/>
    </xf>
    <xf numFmtId="173" fontId="1" fillId="0" borderId="0" xfId="0" applyNumberFormat="1" applyFont="1" applyAlignment="1">
      <alignment/>
    </xf>
    <xf numFmtId="0" fontId="1" fillId="0" borderId="0" xfId="0" applyFont="1" applyAlignment="1">
      <alignment horizontal="right"/>
    </xf>
    <xf numFmtId="0" fontId="15" fillId="0" borderId="0" xfId="0" applyFont="1" applyAlignment="1">
      <alignment horizontal="right" shrinkToFi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67" fontId="20" fillId="33" borderId="16" xfId="0" applyNumberFormat="1" applyFont="1" applyFill="1" applyBorder="1" applyAlignment="1" applyProtection="1">
      <alignment vertical="center"/>
      <protection locked="0"/>
    </xf>
    <xf numFmtId="168" fontId="20" fillId="33" borderId="16" xfId="0" applyNumberFormat="1" applyFont="1" applyFill="1" applyBorder="1" applyAlignment="1" applyProtection="1">
      <alignment vertical="center"/>
      <protection locked="0"/>
    </xf>
    <xf numFmtId="168" fontId="1" fillId="0" borderId="0" xfId="0" applyNumberFormat="1" applyFont="1" applyAlignment="1">
      <alignment horizontal="right"/>
    </xf>
    <xf numFmtId="168" fontId="1" fillId="0" borderId="0" xfId="0" applyNumberFormat="1" applyFont="1" applyAlignment="1">
      <alignment horizontal="right" wrapText="1"/>
    </xf>
    <xf numFmtId="174" fontId="1" fillId="0" borderId="0" xfId="0" applyNumberFormat="1" applyFont="1" applyAlignment="1">
      <alignment shrinkToFit="1"/>
    </xf>
    <xf numFmtId="175" fontId="1" fillId="0" borderId="0" xfId="0" applyNumberFormat="1" applyFont="1" applyAlignment="1">
      <alignment shrinkToFit="1"/>
    </xf>
    <xf numFmtId="0" fontId="1" fillId="0" borderId="0" xfId="0" applyFont="1" applyAlignment="1">
      <alignment/>
    </xf>
    <xf numFmtId="0" fontId="1" fillId="0" borderId="0" xfId="0" applyFont="1" applyAlignment="1" quotePrefix="1">
      <alignment horizontal="center" vertical="center"/>
    </xf>
    <xf numFmtId="0" fontId="0" fillId="0" borderId="0" xfId="0" applyFont="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Font="1" applyAlignment="1">
      <alignment horizontal="center"/>
    </xf>
    <xf numFmtId="10"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3" fillId="0" borderId="0" xfId="0" applyFont="1" applyAlignment="1" quotePrefix="1">
      <alignment/>
    </xf>
    <xf numFmtId="0" fontId="22" fillId="0" borderId="0" xfId="0" applyFont="1" applyAlignment="1" quotePrefix="1">
      <alignment/>
    </xf>
    <xf numFmtId="0" fontId="26" fillId="0" borderId="0" xfId="0" applyFont="1" applyAlignment="1">
      <alignment/>
    </xf>
    <xf numFmtId="0" fontId="14" fillId="0" borderId="0" xfId="0" applyFont="1" applyAlignment="1">
      <alignment horizontal="center" vertical="center" wrapText="1"/>
    </xf>
    <xf numFmtId="0" fontId="27"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4" fillId="0" borderId="0" xfId="0" applyFont="1" applyAlignment="1">
      <alignment horizontal="center" vertical="center"/>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 fillId="0" borderId="0" xfId="0" applyFont="1" applyAlignment="1" applyProtection="1">
      <alignment/>
      <protection hidden="1"/>
    </xf>
    <xf numFmtId="168" fontId="1" fillId="0" borderId="0" xfId="0" applyNumberFormat="1" applyFont="1" applyAlignment="1" applyProtection="1">
      <alignment/>
      <protection hidden="1"/>
    </xf>
    <xf numFmtId="0" fontId="1" fillId="0" borderId="0" xfId="0" applyFont="1" applyAlignment="1" applyProtection="1">
      <alignment horizontal="center"/>
      <protection hidden="1"/>
    </xf>
    <xf numFmtId="167" fontId="1" fillId="0" borderId="0" xfId="0" applyNumberFormat="1" applyFont="1" applyAlignment="1" applyProtection="1">
      <alignment/>
      <protection hidden="1"/>
    </xf>
    <xf numFmtId="167" fontId="17" fillId="0" borderId="0" xfId="0" applyNumberFormat="1" applyFont="1" applyAlignment="1" applyProtection="1">
      <alignment vertical="center"/>
      <protection hidden="1"/>
    </xf>
    <xf numFmtId="167" fontId="1"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168" fontId="17" fillId="0" borderId="0" xfId="0" applyNumberFormat="1" applyFont="1" applyAlignment="1" applyProtection="1">
      <alignment vertical="center"/>
      <protection hidden="1"/>
    </xf>
    <xf numFmtId="0" fontId="17" fillId="0" borderId="0" xfId="0" applyFont="1" applyAlignment="1" applyProtection="1">
      <alignment/>
      <protection hidden="1"/>
    </xf>
    <xf numFmtId="173" fontId="1" fillId="0" borderId="0" xfId="0" applyNumberFormat="1" applyFont="1" applyAlignment="1" applyProtection="1">
      <alignment/>
      <protection hidden="1"/>
    </xf>
    <xf numFmtId="0" fontId="17" fillId="0" borderId="0" xfId="0" applyFont="1" applyAlignment="1" applyProtection="1">
      <alignment horizontal="right" vertical="center"/>
      <protection/>
    </xf>
    <xf numFmtId="181" fontId="28" fillId="0" borderId="0" xfId="0" applyNumberFormat="1" applyFont="1" applyAlignment="1" applyProtection="1">
      <alignment/>
      <protection hidden="1"/>
    </xf>
    <xf numFmtId="182" fontId="28" fillId="0" borderId="0" xfId="0" applyNumberFormat="1" applyFont="1" applyAlignment="1" applyProtection="1">
      <alignment horizontal="left"/>
      <protection hidden="1"/>
    </xf>
    <xf numFmtId="184" fontId="1" fillId="0" borderId="0" xfId="0" applyNumberFormat="1" applyFont="1" applyAlignment="1">
      <alignment/>
    </xf>
    <xf numFmtId="174" fontId="1" fillId="0" borderId="0" xfId="0" applyNumberFormat="1" applyFont="1" applyAlignment="1" applyProtection="1">
      <alignment horizontal="left"/>
      <protection hidden="1"/>
    </xf>
    <xf numFmtId="0" fontId="2" fillId="33" borderId="18" xfId="0" applyFont="1" applyFill="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18" xfId="0" applyFont="1" applyBorder="1" applyAlignment="1" applyProtection="1">
      <alignment horizontal="center" vertical="center" textRotation="90"/>
      <protection hidden="1"/>
    </xf>
    <xf numFmtId="0" fontId="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6" fillId="33" borderId="19" xfId="0" applyFont="1" applyFill="1" applyBorder="1" applyAlignment="1" applyProtection="1">
      <alignment horizontal="center" vertical="center" textRotation="90"/>
      <protection hidden="1"/>
    </xf>
    <xf numFmtId="0" fontId="0" fillId="0" borderId="0" xfId="0" applyAlignment="1" applyProtection="1">
      <alignment/>
      <protection hidden="1"/>
    </xf>
    <xf numFmtId="0" fontId="1"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6" fillId="33" borderId="20" xfId="0" applyFont="1" applyFill="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0" fillId="0" borderId="0" xfId="0" applyAlignment="1" applyProtection="1">
      <alignment vertical="center"/>
      <protection hidden="1"/>
    </xf>
    <xf numFmtId="0" fontId="6" fillId="33" borderId="21" xfId="0" applyFont="1" applyFill="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6" fillId="33" borderId="22"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40" fontId="9" fillId="0" borderId="14" xfId="0" applyNumberFormat="1" applyFont="1" applyBorder="1" applyAlignment="1" applyProtection="1">
      <alignment horizontal="center" vertical="center"/>
      <protection hidden="1"/>
    </xf>
    <xf numFmtId="0" fontId="0"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1" fillId="0" borderId="23" xfId="0" applyFont="1" applyBorder="1" applyAlignment="1" applyProtection="1">
      <alignment vertical="center"/>
      <protection hidden="1"/>
    </xf>
    <xf numFmtId="180" fontId="1" fillId="33" borderId="24" xfId="0" applyNumberFormat="1" applyFont="1" applyFill="1" applyBorder="1" applyAlignment="1" applyProtection="1">
      <alignment horizontal="center" vertical="center" shrinkToFit="1"/>
      <protection hidden="1"/>
    </xf>
    <xf numFmtId="180" fontId="1" fillId="33" borderId="16" xfId="0" applyNumberFormat="1" applyFont="1" applyFill="1" applyBorder="1" applyAlignment="1" applyProtection="1">
      <alignment horizontal="center" vertical="center" shrinkToFit="1"/>
      <protection hidden="1"/>
    </xf>
    <xf numFmtId="0" fontId="1" fillId="33" borderId="24" xfId="0" applyFont="1" applyFill="1" applyBorder="1" applyAlignment="1" applyProtection="1">
      <alignment horizontal="center" vertical="center" shrinkToFit="1"/>
      <protection hidden="1"/>
    </xf>
    <xf numFmtId="4" fontId="1" fillId="33" borderId="24" xfId="0" applyNumberFormat="1" applyFont="1" applyFill="1" applyBorder="1" applyAlignment="1" applyProtection="1">
      <alignment horizontal="center" vertical="center" shrinkToFit="1"/>
      <protection hidden="1"/>
    </xf>
    <xf numFmtId="2" fontId="1" fillId="33" borderId="24" xfId="0" applyNumberFormat="1" applyFont="1" applyFill="1" applyBorder="1" applyAlignment="1" applyProtection="1">
      <alignment horizontal="center" vertical="center" shrinkToFit="1"/>
      <protection hidden="1"/>
    </xf>
    <xf numFmtId="1" fontId="1" fillId="33" borderId="24" xfId="0" applyNumberFormat="1" applyFont="1" applyFill="1" applyBorder="1" applyAlignment="1" applyProtection="1">
      <alignment horizontal="center" vertical="center" shrinkToFit="1"/>
      <protection hidden="1"/>
    </xf>
    <xf numFmtId="0" fontId="1" fillId="33" borderId="16" xfId="0" applyFont="1" applyFill="1" applyBorder="1" applyAlignment="1" applyProtection="1">
      <alignment horizontal="center" vertical="center" shrinkToFit="1"/>
      <protection hidden="1"/>
    </xf>
    <xf numFmtId="4" fontId="1" fillId="33" borderId="16" xfId="0" applyNumberFormat="1" applyFont="1" applyFill="1" applyBorder="1" applyAlignment="1" applyProtection="1">
      <alignment horizontal="center" vertical="center" shrinkToFit="1"/>
      <protection hidden="1"/>
    </xf>
    <xf numFmtId="2" fontId="1" fillId="33" borderId="16" xfId="0" applyNumberFormat="1" applyFont="1" applyFill="1" applyBorder="1" applyAlignment="1" applyProtection="1">
      <alignment horizontal="center" vertical="center" shrinkToFit="1"/>
      <protection hidden="1"/>
    </xf>
    <xf numFmtId="1" fontId="1" fillId="33" borderId="16" xfId="0" applyNumberFormat="1" applyFont="1" applyFill="1" applyBorder="1" applyAlignment="1" applyProtection="1">
      <alignment horizontal="center" vertical="center" shrinkToFit="1"/>
      <protection hidden="1"/>
    </xf>
    <xf numFmtId="185" fontId="1" fillId="33" borderId="24" xfId="0" applyNumberFormat="1" applyFont="1" applyFill="1" applyBorder="1" applyAlignment="1" applyProtection="1">
      <alignment horizontal="center" vertical="center" shrinkToFit="1"/>
      <protection hidden="1"/>
    </xf>
    <xf numFmtId="185" fontId="1" fillId="33" borderId="16" xfId="0" applyNumberFormat="1" applyFont="1" applyFill="1" applyBorder="1" applyAlignment="1" applyProtection="1">
      <alignment horizontal="center" vertical="center" shrinkToFit="1"/>
      <protection hidden="1"/>
    </xf>
    <xf numFmtId="4" fontId="1" fillId="34" borderId="16" xfId="0" applyNumberFormat="1" applyFont="1" applyFill="1" applyBorder="1" applyAlignment="1" applyProtection="1">
      <alignment horizontal="center" vertical="center" shrinkToFit="1"/>
      <protection locked="0"/>
    </xf>
    <xf numFmtId="184" fontId="20" fillId="33" borderId="16" xfId="0" applyNumberFormat="1" applyFont="1" applyFill="1" applyBorder="1" applyAlignment="1" applyProtection="1">
      <alignment vertical="center"/>
      <protection locked="0"/>
    </xf>
    <xf numFmtId="184" fontId="17" fillId="0" borderId="0" xfId="0" applyNumberFormat="1" applyFont="1" applyAlignment="1" applyProtection="1">
      <alignment vertical="center"/>
      <protection hidden="1"/>
    </xf>
    <xf numFmtId="0" fontId="0" fillId="0" borderId="14" xfId="0" applyFont="1" applyBorder="1" applyAlignment="1">
      <alignment horizontal="center" shrinkToFit="1"/>
    </xf>
    <xf numFmtId="186" fontId="0" fillId="0" borderId="25" xfId="0" applyNumberFormat="1" applyFont="1" applyBorder="1" applyAlignment="1">
      <alignment horizontal="center"/>
    </xf>
    <xf numFmtId="186" fontId="0" fillId="0" borderId="26" xfId="0" applyNumberFormat="1" applyFont="1" applyBorder="1" applyAlignment="1">
      <alignment horizontal="center"/>
    </xf>
    <xf numFmtId="186" fontId="0" fillId="0" borderId="27" xfId="0" applyNumberFormat="1" applyFont="1" applyBorder="1" applyAlignment="1">
      <alignment horizontal="center"/>
    </xf>
    <xf numFmtId="186" fontId="1" fillId="0" borderId="17" xfId="0" applyNumberFormat="1" applyFont="1" applyBorder="1" applyAlignment="1">
      <alignment horizontal="center"/>
    </xf>
    <xf numFmtId="186" fontId="7" fillId="0" borderId="17" xfId="0" applyNumberFormat="1" applyFont="1" applyBorder="1" applyAlignment="1">
      <alignment horizontal="center"/>
    </xf>
    <xf numFmtId="186" fontId="1" fillId="0" borderId="17" xfId="0" applyNumberFormat="1" applyFont="1" applyBorder="1" applyAlignment="1" applyProtection="1">
      <alignment horizontal="center" vertical="center"/>
      <protection hidden="1"/>
    </xf>
    <xf numFmtId="186" fontId="1" fillId="0" borderId="0" xfId="0" applyNumberFormat="1" applyFont="1" applyBorder="1" applyAlignment="1" applyProtection="1">
      <alignment vertical="center"/>
      <protection hidden="1"/>
    </xf>
    <xf numFmtId="186" fontId="1" fillId="33" borderId="24" xfId="0" applyNumberFormat="1" applyFont="1" applyFill="1" applyBorder="1" applyAlignment="1" applyProtection="1">
      <alignment horizontal="center" vertical="center" shrinkToFit="1"/>
      <protection hidden="1"/>
    </xf>
    <xf numFmtId="186" fontId="1" fillId="33" borderId="16" xfId="0" applyNumberFormat="1" applyFont="1" applyFill="1" applyBorder="1" applyAlignment="1" applyProtection="1">
      <alignment horizontal="center" vertical="center" shrinkToFit="1"/>
      <protection hidden="1"/>
    </xf>
    <xf numFmtId="2" fontId="1" fillId="0" borderId="0" xfId="0" applyNumberFormat="1" applyFont="1" applyAlignment="1">
      <alignment/>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171" fontId="1" fillId="0" borderId="17" xfId="0" applyNumberFormat="1" applyFont="1" applyBorder="1" applyAlignment="1">
      <alignment horizontal="center"/>
    </xf>
    <xf numFmtId="171" fontId="7" fillId="0" borderId="17" xfId="0" applyNumberFormat="1" applyFont="1" applyBorder="1" applyAlignment="1">
      <alignment horizontal="center"/>
    </xf>
    <xf numFmtId="0" fontId="6" fillId="34" borderId="30" xfId="0" applyFont="1" applyFill="1" applyBorder="1" applyAlignment="1" applyProtection="1">
      <alignment horizontal="center" vertical="center" shrinkToFit="1"/>
      <protection hidden="1"/>
    </xf>
    <xf numFmtId="0" fontId="1" fillId="34" borderId="31" xfId="0" applyFont="1" applyFill="1" applyBorder="1" applyAlignment="1" applyProtection="1">
      <alignment horizontal="center" vertical="center" wrapText="1"/>
      <protection hidden="1"/>
    </xf>
    <xf numFmtId="0" fontId="5" fillId="35" borderId="31" xfId="0" applyFont="1" applyFill="1" applyBorder="1" applyAlignment="1" applyProtection="1">
      <alignment horizontal="center" vertical="center" wrapText="1"/>
      <protection hidden="1"/>
    </xf>
    <xf numFmtId="0" fontId="5" fillId="35" borderId="32" xfId="0" applyFont="1" applyFill="1" applyBorder="1" applyAlignment="1" applyProtection="1">
      <alignment horizontal="center" vertical="center" wrapText="1"/>
      <protection hidden="1"/>
    </xf>
    <xf numFmtId="0" fontId="1" fillId="35" borderId="31" xfId="0" applyFont="1" applyFill="1" applyBorder="1" applyAlignment="1" applyProtection="1">
      <alignment horizontal="center" vertical="center"/>
      <protection hidden="1"/>
    </xf>
    <xf numFmtId="0" fontId="5" fillId="36" borderId="31" xfId="0" applyFont="1" applyFill="1" applyBorder="1" applyAlignment="1" applyProtection="1">
      <alignment horizontal="center" vertical="center" wrapText="1"/>
      <protection hidden="1"/>
    </xf>
    <xf numFmtId="0" fontId="3" fillId="36" borderId="31" xfId="0" applyFont="1" applyFill="1" applyBorder="1" applyAlignment="1" applyProtection="1">
      <alignment horizontal="center" vertical="center" wrapText="1"/>
      <protection hidden="1"/>
    </xf>
    <xf numFmtId="0" fontId="0" fillId="0" borderId="31" xfId="0" applyBorder="1" applyAlignment="1">
      <alignment horizontal="center" vertical="center" shrinkToFit="1"/>
    </xf>
    <xf numFmtId="0" fontId="1" fillId="0" borderId="3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protection hidden="1"/>
    </xf>
    <xf numFmtId="0" fontId="8" fillId="0" borderId="33" xfId="0" applyFont="1" applyBorder="1" applyAlignment="1" applyProtection="1">
      <alignment horizontal="center" vertical="center" textRotation="90"/>
      <protection hidden="1"/>
    </xf>
    <xf numFmtId="0" fontId="15" fillId="0" borderId="31"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protection hidden="1"/>
    </xf>
    <xf numFmtId="0" fontId="2" fillId="0" borderId="31" xfId="0" applyFont="1" applyBorder="1" applyAlignment="1" applyProtection="1">
      <alignment horizontal="center" vertical="center" wrapText="1" shrinkToFit="1"/>
      <protection hidden="1"/>
    </xf>
    <xf numFmtId="0" fontId="3" fillId="0" borderId="0"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0" fillId="35" borderId="36" xfId="0" applyFill="1" applyBorder="1" applyAlignment="1" applyProtection="1">
      <alignment horizontal="center" vertical="center" shrinkToFit="1"/>
      <protection locked="0"/>
    </xf>
    <xf numFmtId="0" fontId="1" fillId="35" borderId="37" xfId="0" applyFont="1" applyFill="1" applyBorder="1" applyAlignment="1" applyProtection="1">
      <alignment horizontal="center" vertical="center" shrinkToFit="1"/>
      <protection locked="0"/>
    </xf>
    <xf numFmtId="4" fontId="1" fillId="35" borderId="37" xfId="0" applyNumberFormat="1" applyFont="1" applyFill="1" applyBorder="1" applyAlignment="1" applyProtection="1">
      <alignment horizontal="center" vertical="center" shrinkToFit="1"/>
      <protection locked="0"/>
    </xf>
    <xf numFmtId="4" fontId="1" fillId="0" borderId="37" xfId="0" applyNumberFormat="1" applyFont="1" applyBorder="1" applyAlignment="1" applyProtection="1">
      <alignment horizontal="center" vertical="center" shrinkToFit="1"/>
      <protection hidden="1"/>
    </xf>
    <xf numFmtId="4" fontId="1" fillId="34" borderId="37" xfId="0" applyNumberFormat="1" applyFont="1" applyFill="1" applyBorder="1" applyAlignment="1" applyProtection="1">
      <alignment horizontal="center" vertical="center" shrinkToFit="1"/>
      <protection locked="0"/>
    </xf>
    <xf numFmtId="180" fontId="1" fillId="0" borderId="37" xfId="0" applyNumberFormat="1" applyFont="1" applyBorder="1" applyAlignment="1" applyProtection="1">
      <alignment horizontal="center" vertical="center" shrinkToFit="1"/>
      <protection hidden="1"/>
    </xf>
    <xf numFmtId="2" fontId="1" fillId="35" borderId="37" xfId="0" applyNumberFormat="1" applyFont="1" applyFill="1" applyBorder="1" applyAlignment="1" applyProtection="1">
      <alignment horizontal="center" vertical="center" shrinkToFit="1"/>
      <protection locked="0"/>
    </xf>
    <xf numFmtId="4" fontId="1" fillId="36" borderId="37" xfId="0" applyNumberFormat="1" applyFont="1" applyFill="1" applyBorder="1" applyAlignment="1" applyProtection="1">
      <alignment horizontal="center" vertical="center" shrinkToFit="1"/>
      <protection locked="0"/>
    </xf>
    <xf numFmtId="180" fontId="1" fillId="0" borderId="38" xfId="0" applyNumberFormat="1" applyFont="1" applyBorder="1" applyAlignment="1" applyProtection="1">
      <alignment horizontal="center" vertical="center" shrinkToFit="1"/>
      <protection hidden="1"/>
    </xf>
    <xf numFmtId="0" fontId="2" fillId="0" borderId="35" xfId="0" applyFont="1" applyBorder="1" applyAlignment="1" applyProtection="1">
      <alignment vertical="center"/>
      <protection hidden="1"/>
    </xf>
    <xf numFmtId="0" fontId="2" fillId="0" borderId="39" xfId="0" applyFont="1" applyBorder="1" applyAlignment="1" applyProtection="1">
      <alignment horizontal="center" vertical="center" wrapText="1"/>
      <protection hidden="1"/>
    </xf>
    <xf numFmtId="0" fontId="2" fillId="0" borderId="39" xfId="0" applyFont="1" applyBorder="1" applyAlignment="1" applyProtection="1">
      <alignment vertical="center"/>
      <protection hidden="1"/>
    </xf>
    <xf numFmtId="40" fontId="9" fillId="0" borderId="0" xfId="0" applyNumberFormat="1" applyFont="1" applyBorder="1" applyAlignment="1" applyProtection="1">
      <alignment horizontal="center" vertical="center"/>
      <protection hidden="1"/>
    </xf>
    <xf numFmtId="180" fontId="1" fillId="0" borderId="36" xfId="0" applyNumberFormat="1" applyFont="1" applyBorder="1" applyAlignment="1" applyProtection="1">
      <alignment horizontal="center" vertical="center" shrinkToFit="1"/>
      <protection hidden="1"/>
    </xf>
    <xf numFmtId="1" fontId="1" fillId="0" borderId="37" xfId="0" applyNumberFormat="1" applyFont="1" applyBorder="1" applyAlignment="1" applyProtection="1">
      <alignment horizontal="center" vertical="center" shrinkToFit="1"/>
      <protection hidden="1"/>
    </xf>
    <xf numFmtId="186" fontId="1" fillId="0" borderId="37" xfId="0" applyNumberFormat="1" applyFont="1" applyBorder="1" applyAlignment="1" applyProtection="1">
      <alignment horizontal="center" vertical="center" shrinkToFit="1"/>
      <protection hidden="1"/>
    </xf>
    <xf numFmtId="166" fontId="1" fillId="0" borderId="37" xfId="0" applyNumberFormat="1"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1" fillId="0" borderId="40" xfId="0" applyFont="1" applyBorder="1" applyAlignment="1" applyProtection="1">
      <alignment vertical="center"/>
      <protection hidden="1"/>
    </xf>
    <xf numFmtId="0" fontId="2" fillId="0" borderId="41" xfId="0" applyFont="1" applyBorder="1" applyAlignment="1" applyProtection="1">
      <alignment horizontal="center" vertical="center" wrapText="1"/>
      <protection hidden="1"/>
    </xf>
    <xf numFmtId="0" fontId="2" fillId="0" borderId="41" xfId="0" applyFont="1" applyBorder="1" applyAlignment="1" applyProtection="1">
      <alignment vertical="center"/>
      <protection hidden="1"/>
    </xf>
    <xf numFmtId="40" fontId="9" fillId="0" borderId="41" xfId="0" applyNumberFormat="1" applyFont="1" applyBorder="1" applyAlignment="1" applyProtection="1">
      <alignment horizontal="center" vertical="center"/>
      <protection hidden="1"/>
    </xf>
    <xf numFmtId="0" fontId="1" fillId="0" borderId="17" xfId="0" applyFont="1" applyBorder="1" applyAlignment="1" applyProtection="1">
      <alignment vertical="center"/>
      <protection hidden="1"/>
    </xf>
    <xf numFmtId="0" fontId="1" fillId="37" borderId="17" xfId="0" applyFont="1" applyFill="1" applyBorder="1" applyAlignment="1">
      <alignment/>
    </xf>
    <xf numFmtId="169" fontId="1" fillId="37" borderId="17" xfId="0" applyNumberFormat="1" applyFont="1" applyFill="1" applyBorder="1" applyAlignment="1">
      <alignment/>
    </xf>
    <xf numFmtId="181" fontId="15" fillId="0" borderId="0" xfId="0" applyNumberFormat="1" applyFont="1" applyAlignment="1" applyProtection="1">
      <alignment horizontal="right"/>
      <protection hidden="1"/>
    </xf>
    <xf numFmtId="0" fontId="1" fillId="0" borderId="0" xfId="0" applyFont="1" applyAlignment="1" applyProtection="1">
      <alignment horizontal="right"/>
      <protection hidden="1"/>
    </xf>
    <xf numFmtId="0" fontId="37" fillId="38" borderId="0" xfId="0" applyFont="1" applyFill="1" applyBorder="1" applyAlignment="1" applyProtection="1">
      <alignment horizontal="center" vertical="center"/>
      <protection hidden="1"/>
    </xf>
    <xf numFmtId="0" fontId="6" fillId="0" borderId="0" xfId="0" applyFont="1" applyAlignment="1" applyProtection="1">
      <alignment/>
      <protection hidden="1"/>
    </xf>
    <xf numFmtId="0" fontId="6" fillId="0" borderId="0" xfId="0" applyFont="1" applyAlignment="1" applyProtection="1">
      <alignment horizontal="center"/>
      <protection hidden="1"/>
    </xf>
    <xf numFmtId="0" fontId="1" fillId="39" borderId="42" xfId="0" applyFont="1" applyFill="1" applyBorder="1" applyAlignment="1" applyProtection="1">
      <alignment horizontal="center" vertical="center"/>
      <protection hidden="1"/>
    </xf>
    <xf numFmtId="188" fontId="1" fillId="0" borderId="17" xfId="0" applyNumberFormat="1" applyFont="1" applyBorder="1" applyAlignment="1" applyProtection="1">
      <alignment horizontal="center" vertical="center"/>
      <protection hidden="1"/>
    </xf>
    <xf numFmtId="0" fontId="1" fillId="40" borderId="0" xfId="0" applyFont="1" applyFill="1" applyAlignment="1" applyProtection="1">
      <alignment horizontal="center" vertical="center" wrapText="1"/>
      <protection hidden="1"/>
    </xf>
    <xf numFmtId="0" fontId="1" fillId="40" borderId="43" xfId="0" applyFont="1" applyFill="1" applyBorder="1" applyAlignment="1" applyProtection="1">
      <alignment horizontal="center" vertical="center"/>
      <protection hidden="1"/>
    </xf>
    <xf numFmtId="0" fontId="1" fillId="40" borderId="42" xfId="0" applyFont="1" applyFill="1" applyBorder="1" applyAlignment="1" applyProtection="1">
      <alignment horizontal="center" vertical="center" shrinkToFit="1"/>
      <protection hidden="1"/>
    </xf>
    <xf numFmtId="2" fontId="79" fillId="0" borderId="44" xfId="0" applyNumberFormat="1" applyFont="1" applyBorder="1" applyAlignment="1" applyProtection="1">
      <alignment horizontal="center" vertical="center" shrinkToFit="1"/>
      <protection hidden="1"/>
    </xf>
    <xf numFmtId="189" fontId="80" fillId="0" borderId="44" xfId="0" applyNumberFormat="1" applyFont="1" applyBorder="1" applyAlignment="1" applyProtection="1">
      <alignment horizontal="center" vertical="center" shrinkToFit="1"/>
      <protection hidden="1"/>
    </xf>
    <xf numFmtId="190" fontId="80" fillId="0" borderId="44" xfId="0" applyNumberFormat="1" applyFont="1" applyBorder="1" applyAlignment="1" applyProtection="1">
      <alignment horizontal="center" vertical="center" shrinkToFit="1"/>
      <protection hidden="1"/>
    </xf>
    <xf numFmtId="0" fontId="2" fillId="0" borderId="0" xfId="0" applyFont="1" applyAlignment="1" applyProtection="1">
      <alignment horizontal="justify" vertical="center" wrapText="1"/>
      <protection hidden="1"/>
    </xf>
    <xf numFmtId="0" fontId="0" fillId="0" borderId="0" xfId="0" applyAlignment="1" applyProtection="1" quotePrefix="1">
      <alignment vertical="center"/>
      <protection hidden="1"/>
    </xf>
    <xf numFmtId="0" fontId="1" fillId="39" borderId="42" xfId="0" applyNumberFormat="1" applyFont="1" applyFill="1" applyBorder="1" applyAlignment="1" applyProtection="1">
      <alignment horizontal="center" vertical="center" shrinkToFit="1"/>
      <protection hidden="1"/>
    </xf>
    <xf numFmtId="0" fontId="81" fillId="40" borderId="0" xfId="0" applyFont="1" applyFill="1" applyBorder="1" applyAlignment="1" applyProtection="1">
      <alignment vertical="center"/>
      <protection hidden="1"/>
    </xf>
    <xf numFmtId="0" fontId="82" fillId="0" borderId="0" xfId="0" applyFont="1" applyBorder="1" applyAlignment="1" applyProtection="1">
      <alignment horizontal="justify" vertical="center"/>
      <protection hidden="1"/>
    </xf>
    <xf numFmtId="10" fontId="83" fillId="40" borderId="0" xfId="0" applyNumberFormat="1" applyFont="1" applyFill="1" applyBorder="1" applyAlignment="1" applyProtection="1">
      <alignment horizontal="center" vertical="center"/>
      <protection hidden="1"/>
    </xf>
    <xf numFmtId="0" fontId="84" fillId="41" borderId="0" xfId="0" applyFont="1" applyFill="1" applyAlignment="1" applyProtection="1">
      <alignment horizontal="center" vertical="center"/>
      <protection hidden="1"/>
    </xf>
    <xf numFmtId="0" fontId="1" fillId="42" borderId="0" xfId="0" applyFont="1" applyFill="1" applyAlignment="1" applyProtection="1">
      <alignment horizontal="center" vertical="center" wrapText="1"/>
      <protection hidden="1"/>
    </xf>
    <xf numFmtId="0" fontId="0" fillId="42" borderId="0" xfId="0" applyFill="1" applyAlignment="1" applyProtection="1">
      <alignment horizontal="center" vertical="center" shrinkToFit="1"/>
      <protection hidden="1"/>
    </xf>
    <xf numFmtId="0" fontId="1" fillId="42" borderId="42" xfId="0" applyFont="1" applyFill="1" applyBorder="1" applyAlignment="1" applyProtection="1">
      <alignment horizontal="center" vertical="center" shrinkToFit="1"/>
      <protection hidden="1"/>
    </xf>
    <xf numFmtId="0" fontId="85" fillId="42" borderId="0" xfId="0" applyFont="1" applyFill="1" applyAlignment="1" applyProtection="1">
      <alignment vertical="center"/>
      <protection hidden="1"/>
    </xf>
    <xf numFmtId="2" fontId="79" fillId="0" borderId="45" xfId="0" applyNumberFormat="1" applyFont="1" applyBorder="1" applyAlignment="1" applyProtection="1">
      <alignment horizontal="center" vertical="center" shrinkToFit="1"/>
      <protection hidden="1"/>
    </xf>
    <xf numFmtId="0" fontId="2" fillId="43" borderId="0" xfId="0" applyFont="1" applyFill="1" applyAlignment="1" applyProtection="1">
      <alignment horizontal="center" vertical="center" wrapText="1"/>
      <protection hidden="1"/>
    </xf>
    <xf numFmtId="0" fontId="1" fillId="43" borderId="37" xfId="0" applyFont="1" applyFill="1" applyBorder="1" applyAlignment="1" applyProtection="1">
      <alignment horizontal="center" vertical="center"/>
      <protection hidden="1"/>
    </xf>
    <xf numFmtId="0" fontId="1" fillId="43" borderId="0" xfId="0" applyFont="1" applyFill="1" applyAlignment="1" applyProtection="1">
      <alignment vertical="center"/>
      <protection hidden="1"/>
    </xf>
    <xf numFmtId="0" fontId="1" fillId="33" borderId="24" xfId="0" applyFont="1" applyFill="1" applyBorder="1" applyAlignment="1" applyProtection="1">
      <alignment horizontal="center" vertical="center" shrinkToFit="1"/>
      <protection hidden="1"/>
    </xf>
    <xf numFmtId="0" fontId="1" fillId="33" borderId="16" xfId="0" applyFont="1" applyFill="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5" fillId="34" borderId="0" xfId="0" applyFont="1" applyFill="1" applyBorder="1" applyAlignment="1" applyProtection="1" quotePrefix="1">
      <alignment horizontal="center" vertical="center" wrapText="1"/>
      <protection hidden="1"/>
    </xf>
    <xf numFmtId="0" fontId="5" fillId="34" borderId="30" xfId="0" applyFont="1" applyFill="1" applyBorder="1" applyAlignment="1" applyProtection="1" quotePrefix="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0" fillId="0" borderId="35" xfId="0" applyBorder="1" applyAlignment="1" applyProtection="1">
      <alignment vertical="center" wrapText="1"/>
      <protection hidden="1"/>
    </xf>
    <xf numFmtId="0" fontId="6" fillId="34" borderId="46" xfId="0" applyFont="1" applyFill="1" applyBorder="1" applyAlignment="1" applyProtection="1">
      <alignment horizontal="center" vertical="center" shrinkToFit="1"/>
      <protection hidden="1"/>
    </xf>
    <xf numFmtId="0" fontId="6" fillId="34" borderId="30" xfId="0" applyFont="1" applyFill="1" applyBorder="1" applyAlignment="1" applyProtection="1">
      <alignment horizontal="center" vertical="center" shrinkToFit="1"/>
      <protection hidden="1"/>
    </xf>
    <xf numFmtId="0" fontId="1" fillId="0" borderId="47" xfId="0" applyFont="1" applyBorder="1" applyAlignment="1" applyProtection="1">
      <alignment horizontal="center" vertical="center" wrapText="1" shrinkToFit="1"/>
      <protection hidden="1"/>
    </xf>
    <xf numFmtId="0" fontId="1" fillId="0" borderId="29" xfId="0" applyFont="1" applyBorder="1" applyAlignment="1" applyProtection="1">
      <alignment horizontal="center" vertical="center" wrapText="1" shrinkToFit="1"/>
      <protection hidden="1"/>
    </xf>
    <xf numFmtId="0" fontId="1" fillId="0" borderId="41" xfId="0" applyFont="1" applyBorder="1" applyAlignment="1" applyProtection="1">
      <alignment horizontal="center" vertical="center" wrapText="1" shrinkToFit="1"/>
      <protection hidden="1"/>
    </xf>
    <xf numFmtId="0" fontId="1" fillId="0" borderId="48" xfId="0" applyFont="1" applyBorder="1" applyAlignment="1" applyProtection="1">
      <alignment horizontal="center" vertical="center" wrapText="1" shrinkToFit="1"/>
      <protection hidden="1"/>
    </xf>
    <xf numFmtId="0" fontId="2" fillId="34" borderId="49" xfId="0" applyFont="1" applyFill="1" applyBorder="1" applyAlignment="1" applyProtection="1">
      <alignment horizontal="center" vertical="center" wrapText="1" shrinkToFit="1"/>
      <protection hidden="1"/>
    </xf>
    <xf numFmtId="0" fontId="2" fillId="34" borderId="48" xfId="0" applyFont="1" applyFill="1" applyBorder="1" applyAlignment="1" applyProtection="1">
      <alignment horizontal="center" vertical="center" wrapText="1" shrinkToFit="1"/>
      <protection hidden="1"/>
    </xf>
    <xf numFmtId="0" fontId="1" fillId="0" borderId="49" xfId="0" applyFont="1" applyBorder="1" applyAlignment="1" applyProtection="1">
      <alignment horizontal="center" vertical="center" shrinkToFit="1"/>
      <protection hidden="1"/>
    </xf>
    <xf numFmtId="0" fontId="1" fillId="0" borderId="48" xfId="0" applyFont="1" applyBorder="1" applyAlignment="1" applyProtection="1">
      <alignment horizontal="center" vertical="center" shrinkToFit="1"/>
      <protection hidden="1"/>
    </xf>
    <xf numFmtId="187" fontId="0" fillId="0" borderId="11" xfId="0" applyNumberFormat="1" applyFont="1" applyBorder="1" applyAlignment="1" applyProtection="1">
      <alignment horizontal="center" vertical="center" shrinkToFit="1"/>
      <protection hidden="1"/>
    </xf>
    <xf numFmtId="187" fontId="0" fillId="0" borderId="12" xfId="0" applyNumberFormat="1" applyFont="1" applyBorder="1" applyAlignment="1" applyProtection="1">
      <alignment horizontal="center" vertical="center" shrinkToFit="1"/>
      <protection hidden="1"/>
    </xf>
    <xf numFmtId="0" fontId="0" fillId="35" borderId="35" xfId="0" applyFont="1" applyFill="1" applyBorder="1" applyAlignment="1" applyProtection="1">
      <alignment horizontal="left" vertical="center" shrinkToFit="1"/>
      <protection locked="0"/>
    </xf>
    <xf numFmtId="0" fontId="1" fillId="0" borderId="0" xfId="0" applyFont="1" applyAlignment="1" applyProtection="1">
      <alignment shrinkToFit="1"/>
      <protection hidden="1"/>
    </xf>
    <xf numFmtId="0" fontId="1" fillId="0" borderId="0" xfId="0" applyFont="1" applyAlignment="1" applyProtection="1">
      <alignment vertical="top" wrapText="1" shrinkToFit="1"/>
      <protection hidden="1"/>
    </xf>
    <xf numFmtId="0" fontId="0" fillId="0" borderId="0" xfId="0" applyAlignment="1">
      <alignment vertical="top" wrapText="1" shrinkToFit="1"/>
    </xf>
    <xf numFmtId="0" fontId="0" fillId="0" borderId="0" xfId="0" applyAlignment="1">
      <alignment shrinkToFit="1"/>
    </xf>
    <xf numFmtId="0" fontId="1" fillId="0" borderId="0" xfId="0" applyFont="1" applyAlignment="1" applyProtection="1">
      <alignment horizontal="left" shrinkToFit="1"/>
      <protection hidden="1"/>
    </xf>
    <xf numFmtId="0" fontId="1" fillId="0" borderId="0" xfId="0" applyFont="1" applyAlignment="1" applyProtection="1">
      <alignment horizontal="left" indent="1" shrinkToFit="1"/>
      <protection locked="0"/>
    </xf>
    <xf numFmtId="0" fontId="6" fillId="35" borderId="31" xfId="0" applyFont="1" applyFill="1" applyBorder="1" applyAlignment="1" applyProtection="1">
      <alignment horizontal="center" vertical="center" wrapText="1" shrinkToFit="1"/>
      <protection hidden="1"/>
    </xf>
    <xf numFmtId="0" fontId="6" fillId="35" borderId="34" xfId="0" applyFont="1" applyFill="1" applyBorder="1" applyAlignment="1" applyProtection="1">
      <alignment horizontal="center" vertical="center" wrapText="1" shrinkToFit="1"/>
      <protection hidden="1"/>
    </xf>
    <xf numFmtId="187" fontId="38" fillId="38" borderId="41" xfId="0" applyNumberFormat="1" applyFont="1" applyFill="1" applyBorder="1" applyAlignment="1" applyProtection="1">
      <alignment vertical="center" shrinkToFit="1"/>
      <protection hidden="1"/>
    </xf>
    <xf numFmtId="0" fontId="2" fillId="36" borderId="46" xfId="0" applyFont="1" applyFill="1" applyBorder="1" applyAlignment="1" applyProtection="1">
      <alignment horizontal="center" vertical="center" wrapText="1" shrinkToFit="1"/>
      <protection hidden="1"/>
    </xf>
    <xf numFmtId="0" fontId="2" fillId="36" borderId="30" xfId="0" applyFont="1" applyFill="1" applyBorder="1" applyAlignment="1" applyProtection="1">
      <alignment horizontal="center" vertical="center" wrapText="1" shrinkToFit="1"/>
      <protection hidden="1"/>
    </xf>
    <xf numFmtId="0" fontId="2" fillId="36" borderId="49" xfId="0" applyFont="1" applyFill="1" applyBorder="1" applyAlignment="1" applyProtection="1">
      <alignment horizontal="center" vertical="center" wrapText="1" shrinkToFit="1"/>
      <protection hidden="1"/>
    </xf>
    <xf numFmtId="0" fontId="2" fillId="36" borderId="48" xfId="0" applyFont="1" applyFill="1" applyBorder="1" applyAlignment="1" applyProtection="1">
      <alignment horizontal="center" vertical="center" wrapText="1" shrinkToFit="1"/>
      <protection hidden="1"/>
    </xf>
    <xf numFmtId="0" fontId="36" fillId="38" borderId="41" xfId="0" applyFont="1" applyFill="1" applyBorder="1" applyAlignment="1" applyProtection="1">
      <alignment horizontal="left" vertical="center" shrinkToFit="1"/>
      <protection hidden="1"/>
    </xf>
    <xf numFmtId="0" fontId="1" fillId="35" borderId="31" xfId="0" applyFont="1" applyFill="1" applyBorder="1" applyAlignment="1" applyProtection="1">
      <alignment horizontal="center" vertical="center" wrapText="1" shrinkToFit="1"/>
      <protection hidden="1"/>
    </xf>
    <xf numFmtId="0" fontId="1" fillId="35" borderId="34" xfId="0" applyFont="1" applyFill="1" applyBorder="1" applyAlignment="1" applyProtection="1">
      <alignment horizontal="center" vertical="center" wrapText="1" shrinkToFit="1"/>
      <protection hidden="1"/>
    </xf>
    <xf numFmtId="0" fontId="1" fillId="0" borderId="0" xfId="0" applyFont="1" applyAlignment="1" applyProtection="1" quotePrefix="1">
      <alignment horizontal="center" vertical="center"/>
      <protection hidden="1"/>
    </xf>
    <xf numFmtId="173" fontId="15" fillId="0" borderId="0" xfId="0" applyNumberFormat="1" applyFont="1" applyAlignment="1" applyProtection="1">
      <alignment horizontal="center" vertical="center"/>
      <protection hidden="1"/>
    </xf>
    <xf numFmtId="178" fontId="15" fillId="0" borderId="0" xfId="0" applyNumberFormat="1" applyFont="1" applyAlignment="1" applyProtection="1">
      <alignment horizontal="center" shrinkToFit="1"/>
      <protection hidden="1"/>
    </xf>
    <xf numFmtId="0" fontId="18"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9" fillId="0" borderId="0" xfId="0" applyFont="1" applyAlignment="1" applyProtection="1">
      <alignment horizontal="center"/>
      <protection hidden="1"/>
    </xf>
    <xf numFmtId="0" fontId="2" fillId="0" borderId="0" xfId="0" applyFont="1" applyAlignment="1" applyProtection="1">
      <alignment horizontal="center"/>
      <protection hidden="1"/>
    </xf>
    <xf numFmtId="2" fontId="29" fillId="0" borderId="0" xfId="0" applyNumberFormat="1" applyFont="1" applyAlignment="1" applyProtection="1">
      <alignment horizontal="left" indent="1" shrinkToFit="1"/>
      <protection hidden="1"/>
    </xf>
    <xf numFmtId="0" fontId="0" fillId="0" borderId="0" xfId="0" applyAlignment="1">
      <alignment horizontal="left" indent="1" shrinkToFit="1"/>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14" fillId="0" borderId="11" xfId="0" applyFont="1" applyBorder="1" applyAlignment="1">
      <alignment horizontal="center"/>
    </xf>
    <xf numFmtId="0" fontId="14" fillId="0" borderId="35" xfId="0" applyFont="1" applyBorder="1" applyAlignment="1">
      <alignment horizontal="center"/>
    </xf>
    <xf numFmtId="0" fontId="14" fillId="0" borderId="12" xfId="0" applyFont="1" applyBorder="1" applyAlignment="1">
      <alignment horizontal="center"/>
    </xf>
    <xf numFmtId="0" fontId="22" fillId="0" borderId="13" xfId="0" applyFont="1" applyBorder="1" applyAlignment="1">
      <alignment horizontal="center"/>
    </xf>
    <xf numFmtId="0" fontId="22" fillId="0" borderId="0" xfId="0" applyFont="1" applyBorder="1" applyAlignment="1">
      <alignment horizontal="center"/>
    </xf>
    <xf numFmtId="0" fontId="22" fillId="0" borderId="14"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54" xfId="0" applyFont="1" applyBorder="1" applyAlignment="1">
      <alignment horizontal="center"/>
    </xf>
    <xf numFmtId="0" fontId="0" fillId="0" borderId="33" xfId="0" applyFont="1" applyBorder="1" applyAlignment="1">
      <alignment horizontal="center"/>
    </xf>
    <xf numFmtId="0" fontId="27" fillId="0" borderId="30" xfId="0" applyFont="1" applyBorder="1" applyAlignment="1">
      <alignment horizontal="center" vertical="center"/>
    </xf>
    <xf numFmtId="0" fontId="14"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27" fillId="0" borderId="47" xfId="0" applyFont="1" applyBorder="1" applyAlignment="1">
      <alignment horizontal="center" vertical="center"/>
    </xf>
    <xf numFmtId="0" fontId="0" fillId="0" borderId="47" xfId="0" applyBorder="1" applyAlignment="1">
      <alignment horizontal="center" vertical="center"/>
    </xf>
    <xf numFmtId="0" fontId="0" fillId="0" borderId="29" xfId="0" applyFont="1" applyBorder="1" applyAlignment="1" quotePrefix="1">
      <alignment horizontal="center" vertical="center"/>
    </xf>
    <xf numFmtId="0" fontId="0" fillId="0" borderId="55" xfId="0" applyFont="1" applyBorder="1" applyAlignment="1" quotePrefix="1">
      <alignment horizontal="center"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31" fillId="0" borderId="0" xfId="0" applyFont="1" applyAlignment="1">
      <alignment horizontal="center" vertical="center" shrinkToFit="1"/>
    </xf>
    <xf numFmtId="0" fontId="0" fillId="0" borderId="0" xfId="0" applyFont="1" applyAlignment="1">
      <alignment horizontal="center" vertical="center" shrinkToFit="1"/>
    </xf>
    <xf numFmtId="165" fontId="1" fillId="0" borderId="17" xfId="0" applyNumberFormat="1" applyFont="1" applyBorder="1" applyAlignment="1">
      <alignment horizontal="center"/>
    </xf>
    <xf numFmtId="165" fontId="7" fillId="0" borderId="17" xfId="0" applyNumberFormat="1" applyFont="1" applyBorder="1" applyAlignment="1">
      <alignment horizontal="center"/>
    </xf>
    <xf numFmtId="0" fontId="6" fillId="35" borderId="19" xfId="0" applyFont="1" applyFill="1" applyBorder="1" applyAlignment="1" applyProtection="1">
      <alignment horizontal="center" vertical="center" wrapText="1"/>
      <protection hidden="1"/>
    </xf>
    <xf numFmtId="0" fontId="6" fillId="0" borderId="31" xfId="0" applyFont="1" applyBorder="1" applyAlignment="1" applyProtection="1">
      <alignment horizontal="center" vertical="center" shrinkToFit="1"/>
      <protection/>
    </xf>
    <xf numFmtId="0" fontId="6" fillId="0" borderId="31"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FFFF00"/>
      </font>
      <fill>
        <patternFill>
          <bgColor theme="1"/>
        </patternFill>
      </fill>
    </dxf>
    <dxf>
      <font>
        <color rgb="FFFFFF00"/>
      </font>
      <fill>
        <patternFill>
          <bgColor theme="1"/>
        </patternFill>
      </fill>
    </dxf>
    <dxf>
      <font>
        <color rgb="FFFFFF00"/>
      </font>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5</xdr:col>
      <xdr:colOff>47625</xdr:colOff>
      <xdr:row>9</xdr:row>
      <xdr:rowOff>142875</xdr:rowOff>
    </xdr:to>
    <xdr:grpSp>
      <xdr:nvGrpSpPr>
        <xdr:cNvPr id="1" name="Group 143"/>
        <xdr:cNvGrpSpPr>
          <a:grpSpLocks/>
        </xdr:cNvGrpSpPr>
      </xdr:nvGrpSpPr>
      <xdr:grpSpPr>
        <a:xfrm>
          <a:off x="142875" y="47625"/>
          <a:ext cx="4419600" cy="1381125"/>
          <a:chOff x="15" y="5"/>
          <a:chExt cx="460" cy="143"/>
        </a:xfrm>
        <a:solidFill>
          <a:srgbClr val="FFFFFF"/>
        </a:solidFill>
      </xdr:grpSpPr>
      <xdr:grpSp>
        <xdr:nvGrpSpPr>
          <xdr:cNvPr id="2" name="Group 10"/>
          <xdr:cNvGrpSpPr>
            <a:grpSpLocks noChangeAspect="1"/>
          </xdr:cNvGrpSpPr>
        </xdr:nvGrpSpPr>
        <xdr:grpSpPr>
          <a:xfrm>
            <a:off x="29" y="28"/>
            <a:ext cx="445" cy="90"/>
            <a:chOff x="249" y="175"/>
            <a:chExt cx="315" cy="101"/>
          </a:xfrm>
          <a:solidFill>
            <a:srgbClr val="FFFFFF"/>
          </a:solidFill>
        </xdr:grpSpPr>
        <xdr:sp>
          <xdr:nvSpPr>
            <xdr:cNvPr id="3" name="AutoShape 2"/>
            <xdr:cNvSpPr>
              <a:spLocks noChangeAspect="1"/>
            </xdr:cNvSpPr>
          </xdr:nvSpPr>
          <xdr:spPr>
            <a:xfrm flipH="1">
              <a:off x="249" y="221"/>
              <a:ext cx="315" cy="55"/>
            </a:xfrm>
            <a:prstGeom prst="parallelogram">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noChangeAspect="1"/>
            </xdr:cNvSpPr>
          </xdr:nvSpPr>
          <xdr:spPr>
            <a:xfrm flipV="1">
              <a:off x="251" y="176"/>
              <a:ext cx="9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noChangeAspect="1"/>
            </xdr:cNvSpPr>
          </xdr:nvSpPr>
          <xdr:spPr>
            <a:xfrm flipV="1">
              <a:off x="327" y="178"/>
              <a:ext cx="13"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7"/>
            <xdr:cNvSpPr>
              <a:spLocks noChangeAspect="1"/>
            </xdr:cNvSpPr>
          </xdr:nvSpPr>
          <xdr:spPr>
            <a:xfrm flipH="1" flipV="1">
              <a:off x="466" y="176"/>
              <a:ext cx="22"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8"/>
            <xdr:cNvSpPr>
              <a:spLocks noChangeAspect="1"/>
            </xdr:cNvSpPr>
          </xdr:nvSpPr>
          <xdr:spPr>
            <a:xfrm flipH="1" flipV="1">
              <a:off x="466" y="175"/>
              <a:ext cx="96" cy="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9"/>
            <xdr:cNvSpPr>
              <a:spLocks noChangeAspect="1"/>
            </xdr:cNvSpPr>
          </xdr:nvSpPr>
          <xdr:spPr>
            <a:xfrm>
              <a:off x="340" y="176"/>
              <a:ext cx="1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9" name="AutoShape 11"/>
          <xdr:cNvSpPr>
            <a:spLocks noChangeAspect="1"/>
          </xdr:cNvSpPr>
        </xdr:nvSpPr>
        <xdr:spPr>
          <a:xfrm>
            <a:off x="159" y="21"/>
            <a:ext cx="179"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Text Box 12"/>
          <xdr:cNvSpPr txBox="1">
            <a:spLocks noChangeAspect="1" noChangeArrowheads="1"/>
          </xdr:cNvSpPr>
        </xdr:nvSpPr>
        <xdr:spPr>
          <a:xfrm>
            <a:off x="246" y="5"/>
            <a:ext cx="11" cy="19"/>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sp>
        <xdr:nvSpPr>
          <xdr:cNvPr id="11" name="AutoShape 18"/>
          <xdr:cNvSpPr>
            <a:spLocks noChangeAspect="1"/>
          </xdr:cNvSpPr>
        </xdr:nvSpPr>
        <xdr:spPr>
          <a:xfrm>
            <a:off x="141" y="130"/>
            <a:ext cx="334"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9"/>
          <xdr:cNvSpPr txBox="1">
            <a:spLocks noChangeAspect="1" noChangeArrowheads="1"/>
          </xdr:cNvSpPr>
        </xdr:nvSpPr>
        <xdr:spPr>
          <a:xfrm>
            <a:off x="227" y="129"/>
            <a:ext cx="11" cy="19"/>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a:t>
            </a:r>
          </a:p>
        </xdr:txBody>
      </xdr:sp>
      <xdr:sp>
        <xdr:nvSpPr>
          <xdr:cNvPr id="13" name="AutoShape 21"/>
          <xdr:cNvSpPr>
            <a:spLocks noChangeAspect="1"/>
          </xdr:cNvSpPr>
        </xdr:nvSpPr>
        <xdr:spPr>
          <a:xfrm>
            <a:off x="15" y="72"/>
            <a:ext cx="117" cy="53"/>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22"/>
          <xdr:cNvSpPr txBox="1">
            <a:spLocks noChangeAspect="1" noChangeArrowheads="1"/>
          </xdr:cNvSpPr>
        </xdr:nvSpPr>
        <xdr:spPr>
          <a:xfrm>
            <a:off x="46" y="97"/>
            <a:ext cx="15" cy="18"/>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W</a:t>
            </a:r>
          </a:p>
        </xdr:txBody>
      </xdr:sp>
      <xdr:sp>
        <xdr:nvSpPr>
          <xdr:cNvPr id="15" name="Text Box 16"/>
          <xdr:cNvSpPr txBox="1">
            <a:spLocks noChangeAspect="1" noChangeArrowheads="1"/>
          </xdr:cNvSpPr>
        </xdr:nvSpPr>
        <xdr:spPr>
          <a:xfrm>
            <a:off x="238" y="42"/>
            <a:ext cx="11" cy="19"/>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xdr:txBody>
      </xdr:sp>
      <xdr:sp>
        <xdr:nvSpPr>
          <xdr:cNvPr id="16" name="AutoShape 32"/>
          <xdr:cNvSpPr>
            <a:spLocks noChangeAspect="1"/>
          </xdr:cNvSpPr>
        </xdr:nvSpPr>
        <xdr:spPr>
          <a:xfrm>
            <a:off x="32" y="63"/>
            <a:ext cx="333"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38"/>
          <xdr:cNvSpPr>
            <a:spLocks noChangeAspect="1"/>
          </xdr:cNvSpPr>
        </xdr:nvSpPr>
        <xdr:spPr>
          <a:xfrm flipV="1">
            <a:off x="85" y="93"/>
            <a:ext cx="332"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24"/>
          <xdr:cNvSpPr>
            <a:spLocks noChangeAspect="1"/>
          </xdr:cNvSpPr>
        </xdr:nvSpPr>
        <xdr:spPr>
          <a:xfrm>
            <a:off x="315" y="29"/>
            <a:ext cx="0" cy="65"/>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ext Box 25"/>
          <xdr:cNvSpPr txBox="1">
            <a:spLocks noChangeAspect="1" noChangeArrowheads="1"/>
          </xdr:cNvSpPr>
        </xdr:nvSpPr>
        <xdr:spPr>
          <a:xfrm>
            <a:off x="317" y="42"/>
            <a:ext cx="11" cy="19"/>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H</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4629150</xdr:colOff>
      <xdr:row>49</xdr:row>
      <xdr:rowOff>152400</xdr:rowOff>
    </xdr:from>
    <xdr:to>
      <xdr:col>9</xdr:col>
      <xdr:colOff>409575</xdr:colOff>
      <xdr:row>57</xdr:row>
      <xdr:rowOff>28575</xdr:rowOff>
    </xdr:to>
    <xdr:grpSp>
      <xdr:nvGrpSpPr>
        <xdr:cNvPr id="1" name="Group 1"/>
        <xdr:cNvGrpSpPr>
          <a:grpSpLocks/>
        </xdr:cNvGrpSpPr>
      </xdr:nvGrpSpPr>
      <xdr:grpSpPr>
        <a:xfrm>
          <a:off x="4781550" y="9486900"/>
          <a:ext cx="4362450" cy="1400175"/>
          <a:chOff x="14" y="8"/>
          <a:chExt cx="430" cy="141"/>
        </a:xfrm>
        <a:solidFill>
          <a:srgbClr val="FFFFFF"/>
        </a:solidFill>
      </xdr:grpSpPr>
      <xdr:grpSp>
        <xdr:nvGrpSpPr>
          <xdr:cNvPr id="2" name="Group 2"/>
          <xdr:cNvGrpSpPr>
            <a:grpSpLocks noChangeAspect="1"/>
          </xdr:cNvGrpSpPr>
        </xdr:nvGrpSpPr>
        <xdr:grpSpPr>
          <a:xfrm>
            <a:off x="27" y="28"/>
            <a:ext cx="416" cy="90"/>
            <a:chOff x="249" y="175"/>
            <a:chExt cx="315" cy="101"/>
          </a:xfrm>
          <a:solidFill>
            <a:srgbClr val="FFFFFF"/>
          </a:solidFill>
        </xdr:grpSpPr>
        <xdr:sp>
          <xdr:nvSpPr>
            <xdr:cNvPr id="3" name="AutoShape 3"/>
            <xdr:cNvSpPr>
              <a:spLocks noChangeAspect="1"/>
            </xdr:cNvSpPr>
          </xdr:nvSpPr>
          <xdr:spPr>
            <a:xfrm flipH="1">
              <a:off x="249" y="221"/>
              <a:ext cx="315" cy="55"/>
            </a:xfrm>
            <a:prstGeom prst="parallelogram">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noChangeAspect="1"/>
            </xdr:cNvSpPr>
          </xdr:nvSpPr>
          <xdr:spPr>
            <a:xfrm flipV="1">
              <a:off x="251" y="176"/>
              <a:ext cx="9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noChangeAspect="1"/>
            </xdr:cNvSpPr>
          </xdr:nvSpPr>
          <xdr:spPr>
            <a:xfrm flipV="1">
              <a:off x="327" y="178"/>
              <a:ext cx="13" cy="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noChangeAspect="1"/>
            </xdr:cNvSpPr>
          </xdr:nvSpPr>
          <xdr:spPr>
            <a:xfrm flipH="1" flipV="1">
              <a:off x="466" y="176"/>
              <a:ext cx="22"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noChangeAspect="1"/>
            </xdr:cNvSpPr>
          </xdr:nvSpPr>
          <xdr:spPr>
            <a:xfrm flipH="1" flipV="1">
              <a:off x="466" y="175"/>
              <a:ext cx="96" cy="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noChangeAspect="1"/>
            </xdr:cNvSpPr>
          </xdr:nvSpPr>
          <xdr:spPr>
            <a:xfrm>
              <a:off x="340" y="176"/>
              <a:ext cx="1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9" name="AutoShape 9"/>
          <xdr:cNvSpPr>
            <a:spLocks noChangeAspect="1"/>
          </xdr:cNvSpPr>
        </xdr:nvSpPr>
        <xdr:spPr>
          <a:xfrm>
            <a:off x="149" y="21"/>
            <a:ext cx="167"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Text Box 10"/>
          <xdr:cNvSpPr txBox="1">
            <a:spLocks noChangeAspect="1" noChangeArrowheads="1"/>
          </xdr:cNvSpPr>
        </xdr:nvSpPr>
        <xdr:spPr>
          <a:xfrm>
            <a:off x="234" y="8"/>
            <a:ext cx="10" cy="18"/>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sp>
        <xdr:nvSpPr>
          <xdr:cNvPr id="11" name="AutoShape 11"/>
          <xdr:cNvSpPr>
            <a:spLocks noChangeAspect="1"/>
          </xdr:cNvSpPr>
        </xdr:nvSpPr>
        <xdr:spPr>
          <a:xfrm>
            <a:off x="132" y="130"/>
            <a:ext cx="312"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spect="1" noChangeArrowheads="1"/>
          </xdr:cNvSpPr>
        </xdr:nvSpPr>
        <xdr:spPr>
          <a:xfrm>
            <a:off x="268" y="131"/>
            <a:ext cx="11" cy="18"/>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a:t>
            </a:r>
          </a:p>
        </xdr:txBody>
      </xdr:sp>
      <xdr:sp>
        <xdr:nvSpPr>
          <xdr:cNvPr id="13" name="AutoShape 13"/>
          <xdr:cNvSpPr>
            <a:spLocks noChangeAspect="1"/>
          </xdr:cNvSpPr>
        </xdr:nvSpPr>
        <xdr:spPr>
          <a:xfrm>
            <a:off x="14" y="72"/>
            <a:ext cx="109" cy="53"/>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spect="1" noChangeArrowheads="1"/>
          </xdr:cNvSpPr>
        </xdr:nvSpPr>
        <xdr:spPr>
          <a:xfrm>
            <a:off x="48" y="96"/>
            <a:ext cx="14" cy="18"/>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W</a:t>
            </a:r>
          </a:p>
        </xdr:txBody>
      </xdr:sp>
      <xdr:sp>
        <xdr:nvSpPr>
          <xdr:cNvPr id="15" name="Text Box 15"/>
          <xdr:cNvSpPr txBox="1">
            <a:spLocks noChangeAspect="1" noChangeArrowheads="1"/>
          </xdr:cNvSpPr>
        </xdr:nvSpPr>
        <xdr:spPr>
          <a:xfrm>
            <a:off x="183" y="45"/>
            <a:ext cx="10" cy="19"/>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xdr:txBody>
      </xdr:sp>
      <xdr:sp>
        <xdr:nvSpPr>
          <xdr:cNvPr id="16" name="AutoShape 16"/>
          <xdr:cNvSpPr>
            <a:spLocks noChangeAspect="1"/>
          </xdr:cNvSpPr>
        </xdr:nvSpPr>
        <xdr:spPr>
          <a:xfrm>
            <a:off x="30" y="63"/>
            <a:ext cx="311" cy="0"/>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17"/>
          <xdr:cNvSpPr>
            <a:spLocks noChangeAspect="1"/>
          </xdr:cNvSpPr>
        </xdr:nvSpPr>
        <xdr:spPr>
          <a:xfrm flipV="1">
            <a:off x="79" y="93"/>
            <a:ext cx="311"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18"/>
          <xdr:cNvSpPr>
            <a:spLocks noChangeAspect="1"/>
          </xdr:cNvSpPr>
        </xdr:nvSpPr>
        <xdr:spPr>
          <a:xfrm>
            <a:off x="294" y="29"/>
            <a:ext cx="0" cy="65"/>
          </a:xfrm>
          <a:prstGeom prst="straightConnector1">
            <a:avLst/>
          </a:prstGeom>
          <a:noFill/>
          <a:ln w="6350" cmpd="sng">
            <a:solidFill>
              <a:srgbClr val="FF99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ext Box 19"/>
          <xdr:cNvSpPr txBox="1">
            <a:spLocks noChangeAspect="1" noChangeArrowheads="1"/>
          </xdr:cNvSpPr>
        </xdr:nvSpPr>
        <xdr:spPr>
          <a:xfrm>
            <a:off x="298" y="43"/>
            <a:ext cx="10" cy="18"/>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H</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D20" sqref="D20"/>
    </sheetView>
  </sheetViews>
  <sheetFormatPr defaultColWidth="9.140625" defaultRowHeight="12.75"/>
  <cols>
    <col min="1" max="1" width="11.57421875" style="1" customWidth="1"/>
    <col min="2" max="2" width="13.140625" style="1" bestFit="1" customWidth="1"/>
    <col min="3" max="3" width="9.140625" style="1" customWidth="1"/>
    <col min="4" max="4" width="11.421875" style="1" bestFit="1" customWidth="1"/>
    <col min="5" max="16384" width="9.140625" style="1" customWidth="1"/>
  </cols>
  <sheetData>
    <row r="1" spans="1:4" ht="11.25">
      <c r="A1" s="12" t="s">
        <v>90</v>
      </c>
      <c r="B1" s="6">
        <f>IF(B3=0,"",C7/TAN(RADIANS(B3)))</f>
      </c>
      <c r="C1" s="6">
        <f>B7/TAN(RADIANS(20))</f>
        <v>0</v>
      </c>
      <c r="D1" s="8" t="s">
        <v>92</v>
      </c>
    </row>
    <row r="2" spans="1:4" ht="11.25">
      <c r="A2" s="24">
        <f>IF(LEFT(A14,16)="You have entered",1,)</f>
        <v>0</v>
      </c>
      <c r="B2" s="6"/>
      <c r="C2" s="6">
        <f>(((B4+B5)/2)-B8)/2</f>
        <v>0</v>
      </c>
      <c r="D2" s="8" t="s">
        <v>100</v>
      </c>
    </row>
    <row r="3" spans="1:4" ht="11.25">
      <c r="A3" s="7" t="s">
        <v>88</v>
      </c>
      <c r="B3" s="8">
        <f>'Wedge Calculation'!B11</f>
        <v>0</v>
      </c>
      <c r="C3" s="8">
        <f>IF(B7=0,"",DEGREES(ATAN2(B6/2,B7)))</f>
      </c>
      <c r="D3" s="8">
        <f>IF(B7=0,"","Calculated using stated H.")</f>
      </c>
    </row>
    <row r="4" spans="1:3" ht="11.25">
      <c r="A4" s="11" t="s">
        <v>86</v>
      </c>
      <c r="B4" s="6">
        <f>'Wedge Calculation'!B12</f>
        <v>0</v>
      </c>
      <c r="C4" s="8"/>
    </row>
    <row r="5" spans="1:2" ht="11.25">
      <c r="A5" s="11" t="s">
        <v>87</v>
      </c>
      <c r="B5" s="6">
        <f>'Wedge Calculation'!B13</f>
        <v>0</v>
      </c>
    </row>
    <row r="6" spans="1:2" ht="11.25">
      <c r="A6" s="11" t="s">
        <v>83</v>
      </c>
      <c r="B6" s="6">
        <f>'Wedge Calculation'!B14</f>
        <v>0</v>
      </c>
    </row>
    <row r="7" spans="1:4" ht="11.25">
      <c r="A7" s="11" t="s">
        <v>84</v>
      </c>
      <c r="B7" s="6">
        <f>'Wedge Calculation'!B15</f>
        <v>0</v>
      </c>
      <c r="C7" s="60">
        <f>IF(B3=0,,(B6*0.5)*(TAN(RADIANS(B3))))</f>
        <v>0</v>
      </c>
      <c r="D7" s="8">
        <f>IF(B3=0,"","Calculated using stated Angle of Repose.")</f>
      </c>
    </row>
    <row r="8" spans="1:4" ht="11.25">
      <c r="A8" s="11" t="s">
        <v>85</v>
      </c>
      <c r="B8" s="6">
        <f>'Wedge Calculation'!B16</f>
        <v>0</v>
      </c>
      <c r="C8" s="24">
        <f>IF(AND(B3&gt;0,B7=0),,IF(OR(AND(F9=1,F10=1),AND(B8&gt;0,F9=2,B8&gt;B9),AND(B8&gt;0,F10=2,B8&gt;B10)),1,2))</f>
        <v>1</v>
      </c>
      <c r="D8" s="8"/>
    </row>
    <row r="9" spans="1:6" ht="11.25">
      <c r="A9" s="11" t="s">
        <v>85</v>
      </c>
      <c r="B9" s="6">
        <f>IF(B3=0,,((B4+B5)/2)-(2*(C7/TAN(RADIANS(B3)))))</f>
        <v>0</v>
      </c>
      <c r="C9" s="6">
        <f>IF(B3=0,"","Calculated using stated Angle of Repose.")</f>
      </c>
      <c r="D9" s="8"/>
      <c r="F9" s="1">
        <f>IF(C9="",1,2)</f>
        <v>1</v>
      </c>
    </row>
    <row r="10" spans="1:6" ht="11.25">
      <c r="A10" s="11" t="s">
        <v>85</v>
      </c>
      <c r="B10" s="6">
        <f>IF(B7=0,,((B4+B5)/2)-(2*(B7/TAN(RADIANS(C3)))))</f>
        <v>0</v>
      </c>
      <c r="C10" s="6">
        <f>IF(B7=0,"","Calculated using stated H"&amp;IF(B3=0,"."," &amp; 20° Angle of Repose."))</f>
      </c>
      <c r="D10" s="8"/>
      <c r="F10" s="1">
        <f>IF(C10="",1,2)</f>
        <v>1</v>
      </c>
    </row>
    <row r="11" spans="1:6" ht="11.25">
      <c r="A11" s="11" t="s">
        <v>94</v>
      </c>
      <c r="B11" s="10">
        <f>IF(A2=1,,(B6*MAX(B7:C7)*(IF(AND(B3&gt;0,B7=0),B9,IF(AND(OR(MAX(B8:B10)&gt;B4,MAX(B8:B10)&gt;B5),B8&gt;0),SUM(B4:B5)/2,MAX(B8:B10)))+B4+B5))/6)</f>
        <v>0</v>
      </c>
      <c r="C11" s="20" t="s">
        <v>97</v>
      </c>
      <c r="D11" s="23">
        <f>B11/1.244</f>
        <v>0</v>
      </c>
      <c r="E11" s="112" t="e">
        <f>VLOOKUP(B12,'BP%'!$A$2:$B$30,2)</f>
        <v>#N/A</v>
      </c>
      <c r="F11" s="23" t="e">
        <f>B12*D12*(E11)</f>
        <v>#DIV/0!</v>
      </c>
    </row>
    <row r="12" spans="1:5" ht="22.5">
      <c r="A12" s="11" t="s">
        <v>96</v>
      </c>
      <c r="B12" s="22">
        <f>(((B4+B5)/2)*B6)/1.244</f>
        <v>0</v>
      </c>
      <c r="C12" s="21" t="s">
        <v>98</v>
      </c>
      <c r="D12" s="60" t="e">
        <f>D11/B12</f>
        <v>#DIV/0!</v>
      </c>
      <c r="E12" s="4"/>
    </row>
    <row r="13" spans="1:4" ht="11.25">
      <c r="A13" s="11"/>
      <c r="B13" s="10"/>
      <c r="C13" s="6"/>
      <c r="D13" s="8"/>
    </row>
    <row r="14" spans="1:2" ht="11.25">
      <c r="A14" s="13">
        <f>IF(C3="",2,IF(AND(ISNUMBER(B3),ISNUMBER(B7),OR(B3-C3&lt;-0.01,B3-C3&gt;0.01),OR(B7-C7&lt;-0.01,B7-C7&gt;0.01)),IF(AND(B3=0,B7&gt;0,C3&gt;30),B15,IF(AND(B3=0,B7&gt;0,OR(C3=30,C3&lt;30)),"",B14)),1))</f>
        <v>2</v>
      </c>
      <c r="B14" s="14" t="s">
        <v>91</v>
      </c>
    </row>
    <row r="15" spans="1:2" ht="11.25">
      <c r="A15" s="15"/>
      <c r="B15" s="16" t="s">
        <v>99</v>
      </c>
    </row>
    <row r="16" spans="1:2" ht="11.25">
      <c r="A16" s="9" t="str">
        <f>IF(A14=2,IF(AND(B3=0,B7=0,OR(ISNUMBER(B4),ISNUMBER(B5),ISNUMBER(B6))),B16,2),1)</f>
        <v>You must enter either an Angle of Repose, or an amount for H.</v>
      </c>
      <c r="B16" s="17" t="s">
        <v>93</v>
      </c>
    </row>
    <row r="18" spans="1:4" ht="11.25">
      <c r="A18" s="13">
        <f aca="true" t="shared" si="0" ref="A18:A23">IF(ISTEXT(B18),,1)</f>
        <v>0</v>
      </c>
      <c r="B18" s="14" t="str">
        <f>IF(AND(B4=0,B5=0,B6=0),"You must enter amounts for 'B', 'C' and 'W'",1)</f>
        <v>You must enter amounts for 'B', 'C' and 'W'</v>
      </c>
      <c r="D18" s="158">
        <v>0.42857142857142855</v>
      </c>
    </row>
    <row r="19" spans="1:4" ht="11.25">
      <c r="A19" s="15">
        <f t="shared" si="0"/>
        <v>1</v>
      </c>
      <c r="B19" s="16">
        <f>IF(AND(B4&gt;0,B5=0,B6=0),"You must enter amounts for 'C' and 'W'",2)</f>
        <v>2</v>
      </c>
      <c r="D19" s="159" t="e">
        <f>D12/D18</f>
        <v>#DIV/0!</v>
      </c>
    </row>
    <row r="20" spans="1:4" ht="11.25">
      <c r="A20" s="15">
        <f t="shared" si="0"/>
        <v>1</v>
      </c>
      <c r="B20" s="16">
        <f>IF(AND(B4&gt;0,B5&gt;0,B6=0),"You must enter an amount for 'W'",3)</f>
        <v>3</v>
      </c>
      <c r="D20" s="158" t="e">
        <f>IF(D19=0,""," Use "&amp;TEXT(D19,"#,##0.00'")&amp;" on the worksheet in Column M.")</f>
        <v>#DIV/0!</v>
      </c>
    </row>
    <row r="21" spans="1:2" ht="11.25">
      <c r="A21" s="15">
        <f t="shared" si="0"/>
        <v>1</v>
      </c>
      <c r="B21" s="16">
        <f>IF(AND(B4=0,B5=0,B6&gt;0),"You must enter amounts for 'B' and 'C'",4)</f>
        <v>4</v>
      </c>
    </row>
    <row r="22" spans="1:2" ht="11.25">
      <c r="A22" s="15">
        <f t="shared" si="0"/>
        <v>1</v>
      </c>
      <c r="B22" s="16">
        <f>IF(AND(B4=0,B5&gt;0,B6&gt;0),"You must enter an amount for 'B'",5)</f>
        <v>5</v>
      </c>
    </row>
    <row r="23" spans="1:2" ht="11.25">
      <c r="A23" s="15">
        <f t="shared" si="0"/>
        <v>1</v>
      </c>
      <c r="B23" s="16">
        <f>IF(AND(B4&gt;0,B5=0,B6&gt;0),"You must enter an amount for 'C'",6)</f>
        <v>6</v>
      </c>
    </row>
    <row r="24" spans="1:2" ht="11.25">
      <c r="A24" s="9" t="str">
        <f>IF(ISNA(VLOOKUP(0,A18:B23,2,FALSE())),"",VLOOKUP(0,A18:B23,2,FALSE()))</f>
        <v>You must enter amounts for 'B', 'C' and 'W'</v>
      </c>
      <c r="B24" s="17"/>
    </row>
    <row r="26" ht="11.25">
      <c r="A26" s="1">
        <f>IF(B8&gt;SUM(B4:B5)/2,"You have enterered an amount for A that is greater than the length of the building.",)</f>
        <v>0</v>
      </c>
    </row>
    <row r="27" ht="11.25">
      <c r="A27" s="1">
        <f>IF(A26=0,,"For all calculations, the length for A is limited to the average of the sum of B and C.")</f>
        <v>0</v>
      </c>
    </row>
  </sheetData>
  <sheetProtection/>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O41"/>
  <sheetViews>
    <sheetView showGridLines="0" tabSelected="1" zoomScale="120" zoomScaleNormal="120" zoomScalePageLayoutView="0" workbookViewId="0" topLeftCell="A1">
      <pane ySplit="4" topLeftCell="A5" activePane="bottomLeft" state="frozen"/>
      <selection pane="topLeft" activeCell="A1" sqref="A1"/>
      <selection pane="bottomLeft" activeCell="A5" sqref="A5:E5"/>
    </sheetView>
  </sheetViews>
  <sheetFormatPr defaultColWidth="0" defaultRowHeight="12.75" zeroHeight="1"/>
  <cols>
    <col min="1" max="1" width="2.28125" style="47" customWidth="1"/>
    <col min="2" max="2" width="6.28125" style="47" customWidth="1"/>
    <col min="3" max="3" width="3.00390625" style="47" customWidth="1"/>
    <col min="4" max="4" width="7.140625" style="47" customWidth="1"/>
    <col min="5" max="5" width="5.57421875" style="47" customWidth="1"/>
    <col min="6" max="7" width="7.140625" style="47" customWidth="1"/>
    <col min="8" max="9" width="8.7109375" style="47" customWidth="1"/>
    <col min="10" max="10" width="16.28125" style="47" customWidth="1"/>
    <col min="11" max="11" width="7.140625" style="47" customWidth="1"/>
    <col min="12" max="12" width="5.57421875" style="47" customWidth="1"/>
    <col min="13" max="13" width="7.140625" style="47" customWidth="1"/>
    <col min="14" max="15" width="4.140625" style="47" customWidth="1"/>
    <col min="16" max="16" width="6.28125" style="47" customWidth="1"/>
    <col min="17" max="17" width="10.7109375" style="47" customWidth="1"/>
    <col min="18" max="18" width="1.8515625" style="47" hidden="1" customWidth="1"/>
    <col min="19" max="19" width="4.28125" style="47" customWidth="1"/>
    <col min="20" max="20" width="10.7109375" style="47" customWidth="1"/>
    <col min="21" max="21" width="1.7109375" style="47" customWidth="1"/>
    <col min="22" max="23" width="7.421875" style="47" hidden="1" customWidth="1"/>
    <col min="24" max="24" width="6.57421875" style="47" hidden="1" customWidth="1"/>
    <col min="25" max="25" width="7.421875" style="47" hidden="1" customWidth="1"/>
    <col min="26" max="30" width="9.140625" style="49" hidden="1" customWidth="1"/>
    <col min="31" max="31" width="10.7109375" style="49" hidden="1" customWidth="1"/>
    <col min="32" max="33" width="0" style="47" hidden="1" customWidth="1"/>
    <col min="34" max="34" width="1.7109375" style="47" hidden="1" customWidth="1"/>
    <col min="35" max="16384" width="0" style="47" hidden="1" customWidth="1"/>
  </cols>
  <sheetData>
    <row r="1" spans="1:25" s="66" customFormat="1" ht="7.5" customHeight="1">
      <c r="A1" s="62"/>
      <c r="B1" s="63" t="s">
        <v>10</v>
      </c>
      <c r="C1" s="113" t="s">
        <v>11</v>
      </c>
      <c r="D1" s="63" t="s">
        <v>12</v>
      </c>
      <c r="E1" s="114" t="s">
        <v>13</v>
      </c>
      <c r="F1" s="63" t="s">
        <v>14</v>
      </c>
      <c r="G1" s="63" t="s">
        <v>15</v>
      </c>
      <c r="H1" s="63" t="s">
        <v>16</v>
      </c>
      <c r="I1" s="63" t="s">
        <v>17</v>
      </c>
      <c r="J1" s="63" t="s">
        <v>18</v>
      </c>
      <c r="K1" s="63" t="s">
        <v>19</v>
      </c>
      <c r="L1" s="63" t="s">
        <v>20</v>
      </c>
      <c r="M1" s="63" t="s">
        <v>21</v>
      </c>
      <c r="N1" s="190" t="s">
        <v>22</v>
      </c>
      <c r="O1" s="191"/>
      <c r="P1" s="63" t="s">
        <v>24</v>
      </c>
      <c r="Q1" s="63" t="s">
        <v>27</v>
      </c>
      <c r="R1" s="64"/>
      <c r="S1" s="63" t="s">
        <v>28</v>
      </c>
      <c r="T1" s="63" t="s">
        <v>29</v>
      </c>
      <c r="U1" s="65"/>
      <c r="V1" s="65"/>
      <c r="W1" s="65"/>
      <c r="X1" s="65"/>
      <c r="Y1" s="65"/>
    </row>
    <row r="2" spans="1:32" ht="25.5" customHeight="1">
      <c r="A2" s="67" t="s">
        <v>81</v>
      </c>
      <c r="B2" s="262" t="s">
        <v>214</v>
      </c>
      <c r="C2" s="120" t="s">
        <v>2</v>
      </c>
      <c r="D2" s="119" t="s">
        <v>189</v>
      </c>
      <c r="E2" s="132" t="s">
        <v>8</v>
      </c>
      <c r="F2" s="118" t="s">
        <v>0</v>
      </c>
      <c r="G2" s="118" t="s">
        <v>1</v>
      </c>
      <c r="H2" s="125" t="s">
        <v>191</v>
      </c>
      <c r="I2" s="125" t="s">
        <v>9</v>
      </c>
      <c r="J2" s="121" t="s">
        <v>3</v>
      </c>
      <c r="K2" s="122" t="s">
        <v>4</v>
      </c>
      <c r="L2" s="123" t="s">
        <v>6</v>
      </c>
      <c r="M2" s="127" t="s">
        <v>7</v>
      </c>
      <c r="N2" s="192" t="s">
        <v>25</v>
      </c>
      <c r="O2" s="193"/>
      <c r="P2" s="127" t="s">
        <v>26</v>
      </c>
      <c r="Q2" s="125" t="s">
        <v>23</v>
      </c>
      <c r="R2" s="129"/>
      <c r="S2" s="264" t="s">
        <v>177</v>
      </c>
      <c r="T2" s="130" t="s">
        <v>182</v>
      </c>
      <c r="U2" s="68"/>
      <c r="V2" s="68"/>
      <c r="W2" s="180" t="s">
        <v>203</v>
      </c>
      <c r="X2" s="68"/>
      <c r="Y2" s="167" t="s">
        <v>202</v>
      </c>
      <c r="Z2" s="69" t="s">
        <v>17</v>
      </c>
      <c r="AA2" s="69" t="s">
        <v>10</v>
      </c>
      <c r="AB2" s="69" t="s">
        <v>166</v>
      </c>
      <c r="AC2" s="70" t="s">
        <v>167</v>
      </c>
      <c r="AD2" s="71" t="s">
        <v>177</v>
      </c>
      <c r="AE2" s="70" t="s">
        <v>168</v>
      </c>
      <c r="AF2" s="71" t="s">
        <v>88</v>
      </c>
    </row>
    <row r="3" spans="1:32" s="73" customFormat="1" ht="9.75" customHeight="1">
      <c r="A3" s="199" t="s">
        <v>194</v>
      </c>
      <c r="B3" s="199"/>
      <c r="C3" s="200"/>
      <c r="D3" s="216" t="s">
        <v>185</v>
      </c>
      <c r="E3" s="72" t="str">
        <f>"("&amp;$D$1&amp;" x .5)"</f>
        <v>(C x .5)</v>
      </c>
      <c r="F3" s="197" t="s">
        <v>184</v>
      </c>
      <c r="G3" s="198"/>
      <c r="H3" s="124" t="s">
        <v>193</v>
      </c>
      <c r="I3" s="124" t="str">
        <f>"("&amp;$H$1&amp;" / 1.244) x 1"</f>
        <v>(G / 1.244) x 1</v>
      </c>
      <c r="J3" s="224" t="s">
        <v>188</v>
      </c>
      <c r="K3" s="219" t="s">
        <v>185</v>
      </c>
      <c r="L3" s="220"/>
      <c r="M3" s="128" t="str">
        <f>"("&amp;$K$1&amp;" - "&amp;$L$1&amp;")"</f>
        <v>(J - K)</v>
      </c>
      <c r="N3" s="126" t="s">
        <v>187</v>
      </c>
      <c r="O3" s="117"/>
      <c r="P3" s="128" t="str">
        <f>"("&amp;$M$1&amp;" + "&amp;$N$1&amp;")"</f>
        <v>(L + M)</v>
      </c>
      <c r="Q3" s="128" t="str">
        <f>"("&amp;$I$1&amp;" x "&amp;$P$1&amp;")"</f>
        <v>(H x N)</v>
      </c>
      <c r="R3" s="72"/>
      <c r="S3" s="263" t="s">
        <v>192</v>
      </c>
      <c r="T3" s="128" t="str">
        <f>$Q$1&amp;" x (1 + "&amp;$S$1&amp;")"</f>
        <v>O x (1 + P)</v>
      </c>
      <c r="U3" s="72"/>
      <c r="V3" s="72"/>
      <c r="W3" s="72"/>
      <c r="X3" s="72"/>
      <c r="Y3" s="72"/>
      <c r="AF3" s="73" t="s">
        <v>196</v>
      </c>
    </row>
    <row r="4" spans="1:32" s="73" customFormat="1" ht="21.75" customHeight="1">
      <c r="A4" s="201"/>
      <c r="B4" s="201"/>
      <c r="C4" s="202"/>
      <c r="D4" s="217"/>
      <c r="E4" s="133" t="s">
        <v>195</v>
      </c>
      <c r="F4" s="203" t="s">
        <v>185</v>
      </c>
      <c r="G4" s="204"/>
      <c r="H4" s="205" t="s">
        <v>190</v>
      </c>
      <c r="I4" s="206"/>
      <c r="J4" s="225"/>
      <c r="K4" s="221"/>
      <c r="L4" s="222"/>
      <c r="M4" s="131"/>
      <c r="N4" s="223" t="s">
        <v>186</v>
      </c>
      <c r="O4" s="223"/>
      <c r="P4" s="223"/>
      <c r="Q4" s="223"/>
      <c r="R4" s="162"/>
      <c r="S4" s="218">
        <f>IF(SUM(S5,S15,S25)=0,"",SUM(S5,S15,S25))</f>
      </c>
      <c r="T4" s="218"/>
      <c r="U4" s="72"/>
      <c r="V4" s="72"/>
      <c r="W4" s="72"/>
      <c r="X4" s="177" t="s">
        <v>209</v>
      </c>
      <c r="Y4" s="178">
        <v>0.8</v>
      </c>
      <c r="Z4" s="176" t="s">
        <v>211</v>
      </c>
      <c r="AF4" s="71" t="s">
        <v>197</v>
      </c>
    </row>
    <row r="5" spans="1:41" s="53" customFormat="1" ht="18.75" customHeight="1">
      <c r="A5" s="194" t="s">
        <v>215</v>
      </c>
      <c r="B5" s="195"/>
      <c r="C5" s="195"/>
      <c r="D5" s="195"/>
      <c r="E5" s="195"/>
      <c r="F5" s="209"/>
      <c r="G5" s="209"/>
      <c r="H5" s="209"/>
      <c r="I5" s="209"/>
      <c r="J5" s="209"/>
      <c r="K5" s="209"/>
      <c r="L5" s="209"/>
      <c r="M5" s="209"/>
      <c r="N5" s="209"/>
      <c r="O5" s="209"/>
      <c r="P5" s="209"/>
      <c r="Q5" s="134" t="s">
        <v>79</v>
      </c>
      <c r="R5" s="144"/>
      <c r="S5" s="207">
        <f>IF(ISERROR(IF(SUM(T6:T13)=0,"",SUM(T6:T13))),,IF(SUM(T6:T13)=0,"",SUM(T6:T13)))</f>
      </c>
      <c r="T5" s="208"/>
      <c r="U5" s="74"/>
      <c r="V5" s="165"/>
      <c r="W5" s="181" t="s">
        <v>204</v>
      </c>
      <c r="X5" s="183" t="s">
        <v>208</v>
      </c>
      <c r="Y5" s="77"/>
      <c r="Z5" s="69"/>
      <c r="AA5" s="69"/>
      <c r="AB5" s="69"/>
      <c r="AC5" s="69"/>
      <c r="AD5" s="69"/>
      <c r="AE5" s="69"/>
      <c r="AG5" s="179" t="s">
        <v>210</v>
      </c>
      <c r="AI5" s="185" t="s">
        <v>212</v>
      </c>
      <c r="AJ5" s="173" t="s">
        <v>206</v>
      </c>
      <c r="AK5" s="170">
        <v>100</v>
      </c>
      <c r="AL5" s="170">
        <v>135</v>
      </c>
      <c r="AM5" s="170">
        <v>150</v>
      </c>
      <c r="AN5" s="170">
        <v>200</v>
      </c>
      <c r="AO5" s="170">
        <v>250</v>
      </c>
    </row>
    <row r="6" spans="1:41" s="53" customFormat="1" ht="14.25" customHeight="1">
      <c r="A6" s="75">
        <v>1</v>
      </c>
      <c r="B6" s="135"/>
      <c r="C6" s="136"/>
      <c r="D6" s="137"/>
      <c r="E6" s="138">
        <f>IF(ISBLANK(D6),"",D6/2)</f>
      </c>
      <c r="F6" s="139"/>
      <c r="G6" s="139"/>
      <c r="H6" s="140">
        <f>IF(AND(ISBLANK(D6),ISBLANK(F6),ISBLANK(G6)),"",IF(AND(ISNUMBER(D6),ISBLANK(F6),ISBLANK(G6)),PI()*(E6^2),IF(AND(ISBLANK(D6),ISNUMBER(F6),ISNUMBER(G6)),F6*G6,)))</f>
      </c>
      <c r="I6" s="140">
        <f aca="true" t="shared" si="0" ref="I6:I13">IF(H6="","",IF(AND(B7=$AG$10,OR(B6=$AG$6,B6=$AG$7)),(H6/1.244)-I7,H6/1.244*Y6))</f>
      </c>
      <c r="J6" s="141" t="s">
        <v>199</v>
      </c>
      <c r="K6" s="142"/>
      <c r="L6" s="142"/>
      <c r="M6" s="138">
        <f>IF(ISBLANK(K6),"",K6-L6)</f>
      </c>
      <c r="N6" s="143">
        <f aca="true" t="shared" si="1" ref="N6:N13">IF(OR(X6="Bag",X6="Del Bag"),"",IF(OR(AE6=500,AE6&gt;500),IF(AC6=0,"",AC6),IF(ISNUMBER(O6),O6,IF(ISBLANK(D6),"",D6*0.06))))</f>
      </c>
      <c r="O6" s="99"/>
      <c r="P6" s="148">
        <f>IF(AND(M6="",N6=""),"",IF(M6="",,M6)+IF(N6="",,N6))</f>
      </c>
      <c r="Q6" s="138">
        <f>IF(ISBLANK(K6),"",I6*P6)</f>
      </c>
      <c r="R6" s="149">
        <f aca="true" t="shared" si="2" ref="R6:R33">IF(AND(ISNUMBER(D6),ISBLANK(F6),ISBLANK(G6)),1,IF(AND(ISBLANK(D6),ISNUMBER(F6),ISNUMBER(G6)),2,))</f>
        <v>0</v>
      </c>
      <c r="S6" s="150">
        <f>IF(I6="","",IF(OR(X6="Bag",X6="Del Bag"),1,IF(R6=1,VLOOKUP(I6,'BP%'!$C$2:$D$26,2),IF(R6=2,VLOOKUP(I6,'BP%'!$A$2:$B$30,2),))))</f>
      </c>
      <c r="T6" s="151">
        <f aca="true" t="shared" si="3" ref="T6:T13">IF(B6=$AG$10,"",IF(AND(Q6="",S6=""),"",IF(OR(B6=$AG$7,X6="Del Bag"),IF(AI6="Use Diameter",AI6,ROUND(-(Q6*(S6)),2)),IF(AI6="Use Diameter",AI6,ROUND(Q6*(S6),2)))))</f>
      </c>
      <c r="U6" s="77"/>
      <c r="V6" s="175" t="str">
        <f>AG6</f>
        <v>Add</v>
      </c>
      <c r="W6" s="182">
        <f>IF(ISNA(MATCH(K6,$AK$5:$AO$5,1)),"",MATCH(K6,$AK$5:$AO$5,1))</f>
      </c>
      <c r="X6" s="169">
        <f aca="true" t="shared" si="4" ref="X6:X13">IF(B6=$AG$8,"Bag",IF(B6=$AG$9,"Del Bag",""))</f>
      </c>
      <c r="Y6" s="168">
        <f aca="true" t="shared" si="5" ref="Y6:Y12">IF(OR(X6="Bag",X6="Del Bag"),$Y$4,1)</f>
        <v>1</v>
      </c>
      <c r="Z6" s="166">
        <f>IF(ISBLANK(O6),(MIN(F6:G6)*0.5)*(TAN(RADIANS(20))),O6)</f>
        <v>0</v>
      </c>
      <c r="AA6" s="166">
        <f aca="true" t="shared" si="6" ref="AA6:AA13">MAX(F6:G6)-(2*(Z6/IF(AF6=0,TAN(RADIANS(20)),TAN(RADIANS(AF6)))))</f>
        <v>0</v>
      </c>
      <c r="AB6" s="166">
        <f aca="true" t="shared" si="7" ref="AB6:AB13">(MIN(F6:G6)*IF(AND(ISNUMBER(O6),OR(O6&gt;0,O6=0)),O6,Z6)*((2*MAX(F6:G6))+AA6))/6</f>
        <v>0</v>
      </c>
      <c r="AC6" s="166">
        <f>IF(I6="",,(AB6/1.244)/I6)</f>
        <v>0</v>
      </c>
      <c r="AD6" s="166">
        <f>IF(B6=$AG$10,,IF(R6=1,VLOOKUP(I6,'BP%'!$C$2:$D$26,2),IF(R6=2,VLOOKUP(I6,'BP%'!$A$2:$B$30,2),)))</f>
        <v>0</v>
      </c>
      <c r="AE6" s="166">
        <f>IF(I6="",,I6)*AC6*AD6</f>
        <v>0</v>
      </c>
      <c r="AF6" s="157">
        <f aca="true" t="shared" si="8" ref="AF6:AF13">IF(ISBLANK(O6),20,IF(O6=0,,DEGREES(ATAN2(MIN(F6:G6)/2,O6))))</f>
        <v>20</v>
      </c>
      <c r="AG6" s="179" t="s">
        <v>172</v>
      </c>
      <c r="AI6" s="186" t="str">
        <f aca="true" t="shared" si="9" ref="AI6:AI13">IF(OR(B6=$AG$8,B6=$AG$9),IF(AND(ISNUMBER(D6),ISBLANK(F6),ISBLANK(G6)),"OK","Use Diameter"),"Not Bag")</f>
        <v>Not Bag</v>
      </c>
      <c r="AJ6" s="184">
        <v>8</v>
      </c>
      <c r="AK6" s="171"/>
      <c r="AL6" s="171"/>
      <c r="AM6" s="171">
        <v>0.63108993115824</v>
      </c>
      <c r="AN6" s="171">
        <v>0.655095810500266</v>
      </c>
      <c r="AO6" s="171"/>
    </row>
    <row r="7" spans="1:41" s="53" customFormat="1" ht="14.25" customHeight="1">
      <c r="A7" s="75">
        <v>2</v>
      </c>
      <c r="B7" s="135"/>
      <c r="C7" s="136"/>
      <c r="D7" s="137"/>
      <c r="E7" s="138">
        <f>IF(ISBLANK(D7),"",D7/2)</f>
      </c>
      <c r="F7" s="139"/>
      <c r="G7" s="139"/>
      <c r="H7" s="140">
        <f>IF(AND(ISBLANK(D7),ISBLANK(F7),ISBLANK(G7)),"",IF(AND(ISNUMBER(D7),ISBLANK(F7),ISBLANK(G7)),PI()*(E7^2),IF(AND(ISBLANK(D7),ISNUMBER(F7),ISNUMBER(G7)),F7*G7,)))</f>
      </c>
      <c r="I7" s="140">
        <f t="shared" si="0"/>
      </c>
      <c r="J7" s="141"/>
      <c r="K7" s="142"/>
      <c r="L7" s="142"/>
      <c r="M7" s="138">
        <f>IF(ISBLANK(K7),"",K7-L7)</f>
      </c>
      <c r="N7" s="143">
        <f t="shared" si="1"/>
      </c>
      <c r="O7" s="99"/>
      <c r="P7" s="148">
        <f>IF(AND(M7="",N7=""),"",IF(M7="",,M7)+IF(N7="",,N7))</f>
      </c>
      <c r="Q7" s="138">
        <f>IF(ISBLANK(K7),"",I7*P7)</f>
      </c>
      <c r="R7" s="149">
        <f t="shared" si="2"/>
        <v>0</v>
      </c>
      <c r="S7" s="150">
        <f>IF(I7="","",IF(OR(X7="Bag",X7="Del Bag"),1,IF(R7=1,VLOOKUP(I7,'BP%'!$C$2:$D$26,2),IF(R7=2,VLOOKUP(I7,'BP%'!$A$2:$B$30,2),))))</f>
      </c>
      <c r="T7" s="151">
        <f t="shared" si="3"/>
      </c>
      <c r="U7" s="77"/>
      <c r="V7" s="175" t="str">
        <f>AG7</f>
        <v>Delete</v>
      </c>
      <c r="W7" s="182">
        <f aca="true" t="shared" si="10" ref="W7:W13">IF(ISNA(MATCH(K7,$AK$5:$AO$5,1)),"",MATCH(K7,$AK$5:$AO$5,1))</f>
      </c>
      <c r="X7" s="169">
        <f t="shared" si="4"/>
      </c>
      <c r="Y7" s="168">
        <f t="shared" si="5"/>
        <v>1</v>
      </c>
      <c r="Z7" s="76">
        <f aca="true" t="shared" si="11" ref="Z7:Z13">IF(ISBLANK(O7),(MIN(F7:G7)*0.5)*(TAN(RADIANS(20))),O7)</f>
        <v>0</v>
      </c>
      <c r="AA7" s="76">
        <f t="shared" si="6"/>
        <v>0</v>
      </c>
      <c r="AB7" s="76">
        <f t="shared" si="7"/>
        <v>0</v>
      </c>
      <c r="AC7" s="76">
        <f>IF(I7="",,(AB7/1.244)/I7)</f>
        <v>0</v>
      </c>
      <c r="AD7" s="108">
        <f>IF(B7=$AG$10,,IF(R7=1,VLOOKUP(I7,'BP%'!$C$2:$D$26,2),IF(R7=2,VLOOKUP(I7,'BP%'!$A$2:$B$30,2),)))</f>
        <v>0</v>
      </c>
      <c r="AE7" s="76">
        <f>IF(I7="",,I7)*AC7*AD7</f>
        <v>0</v>
      </c>
      <c r="AF7" s="157">
        <f t="shared" si="8"/>
        <v>20</v>
      </c>
      <c r="AG7" s="179" t="s">
        <v>173</v>
      </c>
      <c r="AI7" s="186" t="str">
        <f t="shared" si="9"/>
        <v>Not Bag</v>
      </c>
      <c r="AJ7" s="184">
        <v>9</v>
      </c>
      <c r="AK7" s="171"/>
      <c r="AL7" s="171">
        <v>0.638923152061852</v>
      </c>
      <c r="AM7" s="171">
        <v>0.79847351738803</v>
      </c>
      <c r="AN7" s="171">
        <v>0.66142931335616</v>
      </c>
      <c r="AO7" s="171"/>
    </row>
    <row r="8" spans="1:41" s="53" customFormat="1" ht="14.25" customHeight="1">
      <c r="A8" s="75">
        <v>3</v>
      </c>
      <c r="B8" s="135"/>
      <c r="C8" s="136"/>
      <c r="D8" s="137"/>
      <c r="E8" s="138">
        <f aca="true" t="shared" si="12" ref="E8:E13">IF(ISBLANK(D8),"",D8/2)</f>
      </c>
      <c r="F8" s="139"/>
      <c r="G8" s="139"/>
      <c r="H8" s="140">
        <f aca="true" t="shared" si="13" ref="H8:H13">IF(AND(ISBLANK(D8),ISBLANK(F8),ISBLANK(G8)),"",IF(AND(ISNUMBER(D8),ISBLANK(F8),ISBLANK(G8)),PI()*(E8^2),IF(AND(ISBLANK(D8),ISNUMBER(F8),ISNUMBER(G8)),F8*G8,)))</f>
      </c>
      <c r="I8" s="140">
        <f t="shared" si="0"/>
      </c>
      <c r="J8" s="141"/>
      <c r="K8" s="142"/>
      <c r="L8" s="142"/>
      <c r="M8" s="138">
        <f aca="true" t="shared" si="14" ref="M8:M13">IF(ISBLANK(K8),"",K8-L8)</f>
      </c>
      <c r="N8" s="143">
        <f t="shared" si="1"/>
      </c>
      <c r="O8" s="99"/>
      <c r="P8" s="148">
        <f aca="true" t="shared" si="15" ref="P8:P13">IF(AND(M8="",N8=""),"",IF(M8="",,M8)+IF(N8="",,N8))</f>
      </c>
      <c r="Q8" s="138">
        <f aca="true" t="shared" si="16" ref="Q8:Q13">IF(ISBLANK(K8),"",I8*P8)</f>
      </c>
      <c r="R8" s="149">
        <f t="shared" si="2"/>
        <v>0</v>
      </c>
      <c r="S8" s="150">
        <f>IF(I8="","",IF(OR(X8="Bag",X8="Del Bag"),1,IF(R8=1,VLOOKUP(I8,'BP%'!$C$2:$D$26,2),IF(R8=2,VLOOKUP(I8,'BP%'!$A$2:$B$30,2),))))</f>
      </c>
      <c r="T8" s="151">
        <f t="shared" si="3"/>
      </c>
      <c r="U8" s="77"/>
      <c r="V8" s="175" t="str">
        <f>AG8</f>
        <v>+ Ag Bag</v>
      </c>
      <c r="W8" s="182">
        <f t="shared" si="10"/>
      </c>
      <c r="X8" s="169">
        <f t="shared" si="4"/>
      </c>
      <c r="Y8" s="168">
        <f t="shared" si="5"/>
        <v>1</v>
      </c>
      <c r="Z8" s="76">
        <f t="shared" si="11"/>
        <v>0</v>
      </c>
      <c r="AA8" s="76">
        <f t="shared" si="6"/>
        <v>0</v>
      </c>
      <c r="AB8" s="76">
        <f t="shared" si="7"/>
        <v>0</v>
      </c>
      <c r="AC8" s="76">
        <f aca="true" t="shared" si="17" ref="AC8:AC13">IF(I8="",,(AB8/1.244)/I8)</f>
        <v>0</v>
      </c>
      <c r="AD8" s="108">
        <f>IF(B8=$AG$10,,IF(R8=1,VLOOKUP(I8,'BP%'!$C$2:$D$26,2),IF(R8=2,VLOOKUP(I8,'BP%'!$A$2:$B$30,2),)))</f>
        <v>0</v>
      </c>
      <c r="AE8" s="76">
        <f aca="true" t="shared" si="18" ref="AE8:AE13">IF(I8="",,I8)*AC8*AD8</f>
        <v>0</v>
      </c>
      <c r="AF8" s="157">
        <f t="shared" si="8"/>
        <v>20</v>
      </c>
      <c r="AG8" s="179" t="s">
        <v>200</v>
      </c>
      <c r="AI8" s="186" t="str">
        <f t="shared" si="9"/>
        <v>Not Bag</v>
      </c>
      <c r="AJ8" s="184">
        <v>10</v>
      </c>
      <c r="AK8" s="171"/>
      <c r="AL8" s="171"/>
      <c r="AM8" s="171">
        <v>0.627228011496446</v>
      </c>
      <c r="AN8" s="171">
        <v>0.647422852775688</v>
      </c>
      <c r="AO8" s="171">
        <v>0.776115979501266</v>
      </c>
    </row>
    <row r="9" spans="1:35" s="53" customFormat="1" ht="14.25" customHeight="1">
      <c r="A9" s="75">
        <v>4</v>
      </c>
      <c r="B9" s="135"/>
      <c r="C9" s="136"/>
      <c r="D9" s="137"/>
      <c r="E9" s="138">
        <f t="shared" si="12"/>
      </c>
      <c r="F9" s="139"/>
      <c r="G9" s="139"/>
      <c r="H9" s="140">
        <f t="shared" si="13"/>
      </c>
      <c r="I9" s="140">
        <f t="shared" si="0"/>
      </c>
      <c r="J9" s="141"/>
      <c r="K9" s="142"/>
      <c r="L9" s="142"/>
      <c r="M9" s="138">
        <f t="shared" si="14"/>
      </c>
      <c r="N9" s="143">
        <f t="shared" si="1"/>
      </c>
      <c r="O9" s="99"/>
      <c r="P9" s="148">
        <f t="shared" si="15"/>
      </c>
      <c r="Q9" s="138">
        <f t="shared" si="16"/>
      </c>
      <c r="R9" s="149">
        <f t="shared" si="2"/>
        <v>0</v>
      </c>
      <c r="S9" s="150">
        <f>IF(I9="","",IF(OR(X9="Bag",X9="Del Bag"),1,IF(R9=1,VLOOKUP(I9,'BP%'!$C$2:$D$26,2),IF(R9=2,VLOOKUP(I9,'BP%'!$A$2:$B$30,2),))))</f>
      </c>
      <c r="T9" s="151">
        <f t="shared" si="3"/>
      </c>
      <c r="U9" s="77"/>
      <c r="V9" s="175" t="str">
        <f>AG9</f>
        <v>- Ag Bag</v>
      </c>
      <c r="W9" s="182">
        <f t="shared" si="10"/>
      </c>
      <c r="X9" s="169">
        <f t="shared" si="4"/>
      </c>
      <c r="Y9" s="168">
        <f t="shared" si="5"/>
        <v>1</v>
      </c>
      <c r="Z9" s="76">
        <f t="shared" si="11"/>
        <v>0</v>
      </c>
      <c r="AA9" s="76">
        <f t="shared" si="6"/>
        <v>0</v>
      </c>
      <c r="AB9" s="76">
        <f t="shared" si="7"/>
        <v>0</v>
      </c>
      <c r="AC9" s="76">
        <f t="shared" si="17"/>
        <v>0</v>
      </c>
      <c r="AD9" s="108">
        <f>IF(B9=$AG$10,,IF(R9=1,VLOOKUP(I9,'BP%'!$C$2:$D$26,2),IF(R9=2,VLOOKUP(I9,'BP%'!$A$2:$B$30,2),)))</f>
        <v>0</v>
      </c>
      <c r="AE9" s="76">
        <f t="shared" si="18"/>
        <v>0</v>
      </c>
      <c r="AF9" s="157">
        <f t="shared" si="8"/>
        <v>20</v>
      </c>
      <c r="AG9" s="179" t="s">
        <v>201</v>
      </c>
      <c r="AI9" s="186" t="str">
        <f t="shared" si="9"/>
        <v>Not Bag</v>
      </c>
    </row>
    <row r="10" spans="1:41" s="53" customFormat="1" ht="14.25" customHeight="1">
      <c r="A10" s="75">
        <v>5</v>
      </c>
      <c r="B10" s="135"/>
      <c r="C10" s="136"/>
      <c r="D10" s="137"/>
      <c r="E10" s="138">
        <f t="shared" si="12"/>
      </c>
      <c r="F10" s="139"/>
      <c r="G10" s="139"/>
      <c r="H10" s="140">
        <f t="shared" si="13"/>
      </c>
      <c r="I10" s="140">
        <f t="shared" si="0"/>
      </c>
      <c r="J10" s="141"/>
      <c r="K10" s="142"/>
      <c r="L10" s="142"/>
      <c r="M10" s="138">
        <f t="shared" si="14"/>
      </c>
      <c r="N10" s="143">
        <f t="shared" si="1"/>
      </c>
      <c r="O10" s="99"/>
      <c r="P10" s="148">
        <f t="shared" si="15"/>
      </c>
      <c r="Q10" s="138">
        <f t="shared" si="16"/>
      </c>
      <c r="R10" s="149">
        <f t="shared" si="2"/>
        <v>0</v>
      </c>
      <c r="S10" s="150">
        <f>IF(I10="","",IF(OR(X10="Bag",X10="Del Bag"),1,IF(R10=1,VLOOKUP(I10,'BP%'!$C$2:$D$26,2),IF(R10=2,VLOOKUP(I10,'BP%'!$A$2:$B$30,2),))))</f>
      </c>
      <c r="T10" s="151">
        <f t="shared" si="3"/>
      </c>
      <c r="U10" s="77"/>
      <c r="V10" s="175" t="str">
        <f>AG10</f>
        <v>Adjust</v>
      </c>
      <c r="W10" s="182">
        <f t="shared" si="10"/>
      </c>
      <c r="X10" s="169">
        <f t="shared" si="4"/>
      </c>
      <c r="Y10" s="168">
        <f t="shared" si="5"/>
        <v>1</v>
      </c>
      <c r="Z10" s="76">
        <f t="shared" si="11"/>
        <v>0</v>
      </c>
      <c r="AA10" s="76">
        <f t="shared" si="6"/>
        <v>0</v>
      </c>
      <c r="AB10" s="76">
        <f t="shared" si="7"/>
        <v>0</v>
      </c>
      <c r="AC10" s="76">
        <f t="shared" si="17"/>
        <v>0</v>
      </c>
      <c r="AD10" s="108">
        <f>IF(B10=$AG$10,,IF(R10=1,VLOOKUP(I10,'BP%'!$C$2:$D$26,2),IF(R10=2,VLOOKUP(I10,'BP%'!$A$2:$B$30,2),)))</f>
        <v>0</v>
      </c>
      <c r="AE10" s="76">
        <f t="shared" si="18"/>
        <v>0</v>
      </c>
      <c r="AF10" s="157">
        <f t="shared" si="8"/>
        <v>20</v>
      </c>
      <c r="AG10" s="179" t="s">
        <v>207</v>
      </c>
      <c r="AI10" s="186" t="str">
        <f t="shared" si="9"/>
        <v>Not Bag</v>
      </c>
      <c r="AJ10" s="69" t="s">
        <v>205</v>
      </c>
      <c r="AK10" s="171"/>
      <c r="AL10" s="172" t="e">
        <f aca="true" t="shared" si="19" ref="AL10:AO12">(AL6-AK6)/AK6</f>
        <v>#DIV/0!</v>
      </c>
      <c r="AM10" s="172" t="e">
        <f t="shared" si="19"/>
        <v>#DIV/0!</v>
      </c>
      <c r="AN10" s="172">
        <f t="shared" si="19"/>
        <v>0.03803876144556452</v>
      </c>
      <c r="AO10" s="172">
        <f t="shared" si="19"/>
        <v>-1</v>
      </c>
    </row>
    <row r="11" spans="1:41" s="53" customFormat="1" ht="14.25" customHeight="1">
      <c r="A11" s="75">
        <v>6</v>
      </c>
      <c r="B11" s="135"/>
      <c r="C11" s="136"/>
      <c r="D11" s="137"/>
      <c r="E11" s="138">
        <f t="shared" si="12"/>
      </c>
      <c r="F11" s="139"/>
      <c r="G11" s="139"/>
      <c r="H11" s="140">
        <f t="shared" si="13"/>
      </c>
      <c r="I11" s="140">
        <f t="shared" si="0"/>
      </c>
      <c r="J11" s="141"/>
      <c r="K11" s="142"/>
      <c r="L11" s="142"/>
      <c r="M11" s="138">
        <f t="shared" si="14"/>
      </c>
      <c r="N11" s="143">
        <f t="shared" si="1"/>
      </c>
      <c r="O11" s="99"/>
      <c r="P11" s="148">
        <f t="shared" si="15"/>
      </c>
      <c r="Q11" s="138">
        <f t="shared" si="16"/>
      </c>
      <c r="R11" s="149">
        <f t="shared" si="2"/>
        <v>0</v>
      </c>
      <c r="S11" s="150">
        <f>IF(I11="","",IF(OR(X11="Bag",X11="Del Bag"),1,IF(R11=1,VLOOKUP(I11,'BP%'!$C$2:$D$26,2),IF(R11=2,VLOOKUP(I11,'BP%'!$A$2:$B$30,2),))))</f>
      </c>
      <c r="T11" s="151">
        <f t="shared" si="3"/>
      </c>
      <c r="U11" s="77"/>
      <c r="V11" s="77"/>
      <c r="W11" s="182">
        <f t="shared" si="10"/>
      </c>
      <c r="X11" s="169">
        <f t="shared" si="4"/>
      </c>
      <c r="Y11" s="168">
        <f t="shared" si="5"/>
        <v>1</v>
      </c>
      <c r="Z11" s="76">
        <f t="shared" si="11"/>
        <v>0</v>
      </c>
      <c r="AA11" s="76">
        <f t="shared" si="6"/>
        <v>0</v>
      </c>
      <c r="AB11" s="76">
        <f t="shared" si="7"/>
        <v>0</v>
      </c>
      <c r="AC11" s="76">
        <f t="shared" si="17"/>
        <v>0</v>
      </c>
      <c r="AD11" s="108">
        <f>IF(B11=$AG$10,,IF(R11=1,VLOOKUP(I11,'BP%'!$C$2:$D$26,2),IF(R11=2,VLOOKUP(I11,'BP%'!$A$2:$B$30,2),)))</f>
        <v>0</v>
      </c>
      <c r="AE11" s="76">
        <f t="shared" si="18"/>
        <v>0</v>
      </c>
      <c r="AF11" s="157">
        <f t="shared" si="8"/>
        <v>20</v>
      </c>
      <c r="AI11" s="186" t="str">
        <f t="shared" si="9"/>
        <v>Not Bag</v>
      </c>
      <c r="AK11" s="171"/>
      <c r="AL11" s="172" t="e">
        <f t="shared" si="19"/>
        <v>#DIV/0!</v>
      </c>
      <c r="AM11" s="172">
        <f t="shared" si="19"/>
        <v>0.24971761441309048</v>
      </c>
      <c r="AN11" s="172">
        <f t="shared" si="19"/>
        <v>-0.17163274804676004</v>
      </c>
      <c r="AO11" s="172">
        <f t="shared" si="19"/>
        <v>-1</v>
      </c>
    </row>
    <row r="12" spans="1:41" s="53" customFormat="1" ht="14.25" customHeight="1">
      <c r="A12" s="75">
        <v>7</v>
      </c>
      <c r="B12" s="135"/>
      <c r="C12" s="136"/>
      <c r="D12" s="137"/>
      <c r="E12" s="138">
        <f t="shared" si="12"/>
      </c>
      <c r="F12" s="139"/>
      <c r="G12" s="139"/>
      <c r="H12" s="140">
        <f t="shared" si="13"/>
      </c>
      <c r="I12" s="140">
        <f t="shared" si="0"/>
      </c>
      <c r="J12" s="141"/>
      <c r="K12" s="142"/>
      <c r="L12" s="142"/>
      <c r="M12" s="138">
        <f t="shared" si="14"/>
      </c>
      <c r="N12" s="143">
        <f t="shared" si="1"/>
      </c>
      <c r="O12" s="99"/>
      <c r="P12" s="148">
        <f t="shared" si="15"/>
      </c>
      <c r="Q12" s="138">
        <f t="shared" si="16"/>
      </c>
      <c r="R12" s="149">
        <f t="shared" si="2"/>
        <v>0</v>
      </c>
      <c r="S12" s="150">
        <f>IF(I12="","",IF(OR(X12="Bag",X12="Del Bag"),1,IF(R12=1,VLOOKUP(I12,'BP%'!$C$2:$D$26,2),IF(R12=2,VLOOKUP(I12,'BP%'!$A$2:$B$30,2),))))</f>
      </c>
      <c r="T12" s="151">
        <f t="shared" si="3"/>
      </c>
      <c r="U12" s="77"/>
      <c r="V12" s="174"/>
      <c r="W12" s="182">
        <f t="shared" si="10"/>
      </c>
      <c r="X12" s="169">
        <f t="shared" si="4"/>
      </c>
      <c r="Y12" s="168">
        <f t="shared" si="5"/>
        <v>1</v>
      </c>
      <c r="Z12" s="76">
        <f t="shared" si="11"/>
        <v>0</v>
      </c>
      <c r="AA12" s="76">
        <f t="shared" si="6"/>
        <v>0</v>
      </c>
      <c r="AB12" s="76">
        <f t="shared" si="7"/>
        <v>0</v>
      </c>
      <c r="AC12" s="76">
        <f t="shared" si="17"/>
        <v>0</v>
      </c>
      <c r="AD12" s="108">
        <f>IF(B12=$AG$10,,IF(R12=1,VLOOKUP(I12,'BP%'!$C$2:$D$26,2),IF(R12=2,VLOOKUP(I12,'BP%'!$A$2:$B$30,2),)))</f>
        <v>0</v>
      </c>
      <c r="AE12" s="76">
        <f t="shared" si="18"/>
        <v>0</v>
      </c>
      <c r="AF12" s="157">
        <f t="shared" si="8"/>
        <v>20</v>
      </c>
      <c r="AI12" s="186" t="str">
        <f t="shared" si="9"/>
        <v>Not Bag</v>
      </c>
      <c r="AK12" s="171"/>
      <c r="AL12" s="172" t="e">
        <f t="shared" si="19"/>
        <v>#DIV/0!</v>
      </c>
      <c r="AM12" s="172" t="e">
        <f t="shared" si="19"/>
        <v>#DIV/0!</v>
      </c>
      <c r="AN12" s="172">
        <f t="shared" si="19"/>
        <v>0.03219696969697025</v>
      </c>
      <c r="AO12" s="172">
        <f t="shared" si="19"/>
        <v>0.19877754727661145</v>
      </c>
    </row>
    <row r="13" spans="1:35" s="53" customFormat="1" ht="14.25" customHeight="1">
      <c r="A13" s="80">
        <v>8</v>
      </c>
      <c r="B13" s="135"/>
      <c r="C13" s="136"/>
      <c r="D13" s="137"/>
      <c r="E13" s="138">
        <f t="shared" si="12"/>
      </c>
      <c r="F13" s="139"/>
      <c r="G13" s="139"/>
      <c r="H13" s="140">
        <f t="shared" si="13"/>
      </c>
      <c r="I13" s="140">
        <f t="shared" si="0"/>
      </c>
      <c r="J13" s="141"/>
      <c r="K13" s="142"/>
      <c r="L13" s="142"/>
      <c r="M13" s="138">
        <f t="shared" si="14"/>
      </c>
      <c r="N13" s="143">
        <f t="shared" si="1"/>
      </c>
      <c r="O13" s="99"/>
      <c r="P13" s="148">
        <f t="shared" si="15"/>
      </c>
      <c r="Q13" s="138">
        <f t="shared" si="16"/>
      </c>
      <c r="R13" s="149">
        <f t="shared" si="2"/>
        <v>0</v>
      </c>
      <c r="S13" s="150">
        <f>IF(I13="","",IF(OR(X13="Bag",X13="Del Bag"),1,IF(R13=1,VLOOKUP(I13,'BP%'!$C$2:$D$26,2),IF(R13=2,VLOOKUP(I13,'BP%'!$A$2:$B$30,2),))))</f>
      </c>
      <c r="T13" s="151">
        <f t="shared" si="3"/>
      </c>
      <c r="U13" s="77"/>
      <c r="V13" s="77"/>
      <c r="W13" s="182">
        <f t="shared" si="10"/>
      </c>
      <c r="X13" s="169">
        <f t="shared" si="4"/>
      </c>
      <c r="Y13" s="168">
        <f>IF(OR(X13="Bag",X13="Del Bag"),$Y$4,1)</f>
        <v>1</v>
      </c>
      <c r="Z13" s="76">
        <f t="shared" si="11"/>
        <v>0</v>
      </c>
      <c r="AA13" s="76">
        <f t="shared" si="6"/>
        <v>0</v>
      </c>
      <c r="AB13" s="76">
        <f t="shared" si="7"/>
        <v>0</v>
      </c>
      <c r="AC13" s="76">
        <f t="shared" si="17"/>
        <v>0</v>
      </c>
      <c r="AD13" s="108">
        <f>IF(B13=$AG$10,,IF(R13=1,VLOOKUP(I13,'BP%'!$C$2:$D$26,2),IF(R13=2,VLOOKUP(I13,'BP%'!$A$2:$B$30,2),)))</f>
        <v>0</v>
      </c>
      <c r="AE13" s="76">
        <f t="shared" si="18"/>
        <v>0</v>
      </c>
      <c r="AF13" s="157">
        <f t="shared" si="8"/>
        <v>20</v>
      </c>
      <c r="AI13" s="186" t="str">
        <f t="shared" si="9"/>
        <v>Not Bag</v>
      </c>
    </row>
    <row r="14" spans="1:35" s="53" customFormat="1" ht="0.75" customHeight="1">
      <c r="A14" s="81"/>
      <c r="B14" s="82"/>
      <c r="C14" s="82"/>
      <c r="D14" s="82"/>
      <c r="E14" s="82"/>
      <c r="F14" s="84"/>
      <c r="G14" s="85"/>
      <c r="H14" s="85"/>
      <c r="I14" s="85"/>
      <c r="J14" s="85"/>
      <c r="K14" s="85"/>
      <c r="L14" s="85"/>
      <c r="M14" s="85"/>
      <c r="N14" s="85"/>
      <c r="O14" s="85"/>
      <c r="P14" s="85"/>
      <c r="Q14" s="154"/>
      <c r="R14" s="155"/>
      <c r="S14" s="156"/>
      <c r="T14" s="83"/>
      <c r="U14" s="74"/>
      <c r="V14" s="77"/>
      <c r="W14" s="74"/>
      <c r="X14" s="74"/>
      <c r="Y14" s="69"/>
      <c r="Z14" s="69"/>
      <c r="AA14" s="69"/>
      <c r="AB14" s="69"/>
      <c r="AC14" s="69"/>
      <c r="AD14" s="69"/>
      <c r="AE14" s="69"/>
      <c r="AF14" s="69"/>
      <c r="AI14" s="187"/>
    </row>
    <row r="15" spans="1:35" s="53" customFormat="1" ht="18.75" customHeight="1">
      <c r="A15" s="194" t="s">
        <v>141</v>
      </c>
      <c r="B15" s="196"/>
      <c r="C15" s="196"/>
      <c r="D15" s="196"/>
      <c r="E15" s="196"/>
      <c r="F15" s="209"/>
      <c r="G15" s="209"/>
      <c r="H15" s="209"/>
      <c r="I15" s="209"/>
      <c r="J15" s="209"/>
      <c r="K15" s="209"/>
      <c r="L15" s="209"/>
      <c r="M15" s="209"/>
      <c r="N15" s="209"/>
      <c r="O15" s="209"/>
      <c r="P15" s="209"/>
      <c r="Q15" s="134" t="s">
        <v>80</v>
      </c>
      <c r="R15" s="144"/>
      <c r="S15" s="207">
        <f>IF(ISERROR(IF(SUM(T16:T23)=0,"",SUM(T16:T23))),,IF(SUM(T16:T23)=0,"",SUM(T16:T23)))</f>
      </c>
      <c r="T15" s="208"/>
      <c r="U15" s="74"/>
      <c r="V15" s="74"/>
      <c r="W15" s="74"/>
      <c r="X15" s="74"/>
      <c r="Y15" s="74"/>
      <c r="Z15" s="69"/>
      <c r="AA15" s="69"/>
      <c r="AB15" s="69"/>
      <c r="AC15" s="69"/>
      <c r="AD15" s="69"/>
      <c r="AE15" s="69"/>
      <c r="AF15" s="69"/>
      <c r="AI15" s="187"/>
    </row>
    <row r="16" spans="1:35" s="53" customFormat="1" ht="14.25" customHeight="1">
      <c r="A16" s="78">
        <v>9</v>
      </c>
      <c r="B16" s="135"/>
      <c r="C16" s="136"/>
      <c r="D16" s="137"/>
      <c r="E16" s="138">
        <f aca="true" t="shared" si="20" ref="E16:E23">IF(ISBLANK(D16),"",D16/2)</f>
      </c>
      <c r="F16" s="139"/>
      <c r="G16" s="139"/>
      <c r="H16" s="140">
        <f aca="true" t="shared" si="21" ref="H16:H23">IF(AND(ISBLANK(D16),ISBLANK(F16),ISBLANK(G16)),"",IF(AND(ISNUMBER(D16),ISBLANK(F16),ISBLANK(G16)),PI()*(E16^2),IF(AND(ISBLANK(D16),ISNUMBER(F16),ISNUMBER(G16)),F16*G16,)))</f>
      </c>
      <c r="I16" s="140">
        <f aca="true" t="shared" si="22" ref="I16:I23">IF(H16="","",IF(AND(B17=$AG$10,OR(B16=$AG$6,B16=$AG$7)),(H16/1.244)-I17,H16/1.244*Y16))</f>
      </c>
      <c r="J16" s="141"/>
      <c r="K16" s="142"/>
      <c r="L16" s="142"/>
      <c r="M16" s="138">
        <f aca="true" t="shared" si="23" ref="M16:M23">IF(ISBLANK(K16),"",K16-L16)</f>
      </c>
      <c r="N16" s="143">
        <f aca="true" t="shared" si="24" ref="N16:N23">IF(OR(X16="Bag",X16="Del Bag"),"",IF(OR(AE16=500,AE16&gt;500),IF(AC16=0,"",AC16),IF(ISNUMBER(O16),O16,IF(ISBLANK(D16),"",D16*0.06))))</f>
      </c>
      <c r="O16" s="99"/>
      <c r="P16" s="148">
        <f aca="true" t="shared" si="25" ref="P16:P23">IF(AND(M16="",N16=""),"",IF(M16="",,M16)+IF(N16="",,N16))</f>
      </c>
      <c r="Q16" s="138">
        <f aca="true" t="shared" si="26" ref="Q16:Q23">IF(ISBLANK(K16),"",I16*P16)</f>
      </c>
      <c r="R16" s="149">
        <f t="shared" si="2"/>
        <v>0</v>
      </c>
      <c r="S16" s="150">
        <f>IF(I16="","",IF(OR(X16="Bag",X16="Del Bag"),1,IF(R16=1,VLOOKUP(I16,'BP%'!$C$2:$D$26,2),IF(R16=2,VLOOKUP(I16,'BP%'!$A$2:$B$30,2),))))</f>
      </c>
      <c r="T16" s="151">
        <f>IF(B16=$AG$10,"",IF(AND(Q16="",S16=""),"",IF(OR(B16=$AG$7,X16="Del Bag"),IF(AI16="Use Diameter",AI16,ROUND(-(Q16*(S16)),2)),IF(AI16="Use Diameter",AI16,ROUND(Q16*(S16),2)))))</f>
      </c>
      <c r="U16" s="77"/>
      <c r="V16" s="74"/>
      <c r="W16" s="182">
        <f>IF(ISNA(MATCH(K16,$AK$5:$AO$5,1)),"",MATCH(K16,$AK$5:$AO$5,1))</f>
      </c>
      <c r="X16" s="169">
        <f>IF(B16=$AG$8,"Bag",IF(B16=$AG$9,"Del Bag",""))</f>
      </c>
      <c r="Y16" s="168">
        <f aca="true" t="shared" si="27" ref="Y16:Y22">IF(OR(X16="Bag",X16="Del Bag"),$Y$4,1)</f>
        <v>1</v>
      </c>
      <c r="Z16" s="76">
        <f aca="true" t="shared" si="28" ref="Z16:Z23">IF(ISBLANK(O16),(MIN(F16:G16)*0.5)*(TAN(RADIANS(20))),O16)</f>
        <v>0</v>
      </c>
      <c r="AA16" s="76">
        <f aca="true" t="shared" si="29" ref="AA16:AA23">MAX(F16:G16)-(2*(Z16/IF(AF16=0,TAN(RADIANS(20)),TAN(RADIANS(AF16)))))</f>
        <v>0</v>
      </c>
      <c r="AB16" s="76">
        <f aca="true" t="shared" si="30" ref="AB16:AB23">(MIN(F16:G16)*IF(AND(ISNUMBER(O16),OR(O16&gt;0,O16=0)),O16,Z16)*((2*MAX(F16:G16))+AA16))/6</f>
        <v>0</v>
      </c>
      <c r="AC16" s="76">
        <f aca="true" t="shared" si="31" ref="AC16:AC23">IF(I16="",,(AB16/1.244)/I16)</f>
        <v>0</v>
      </c>
      <c r="AD16" s="108">
        <f>IF(B16=$AG$10,,IF(R16=1,VLOOKUP(I16,'BP%'!$C$2:$D$26,2),IF(R16=2,VLOOKUP(I16,'BP%'!$A$2:$B$30,2),)))</f>
        <v>0</v>
      </c>
      <c r="AE16" s="76">
        <f aca="true" t="shared" si="32" ref="AE16:AE23">IF(I16="",,I16)*AC16*AD16</f>
        <v>0</v>
      </c>
      <c r="AF16" s="157">
        <f aca="true" t="shared" si="33" ref="AF16:AF23">IF(ISBLANK(O16),20,IF(O16=0,,DEGREES(ATAN2(MIN(F16:G16)/2,O16))))</f>
        <v>20</v>
      </c>
      <c r="AI16" s="186" t="str">
        <f aca="true" t="shared" si="34" ref="AI16:AI23">IF(OR(B16=$AG$8,B16=$AG$9),IF(AND(ISNUMBER(D16),ISBLANK(F16),ISBLANK(G16)),"OK","Use Diameter"),"Not Bag")</f>
        <v>Not Bag</v>
      </c>
    </row>
    <row r="17" spans="1:35" s="53" customFormat="1" ht="14.25" customHeight="1">
      <c r="A17" s="78">
        <v>10</v>
      </c>
      <c r="B17" s="135"/>
      <c r="C17" s="136"/>
      <c r="D17" s="137"/>
      <c r="E17" s="138">
        <f t="shared" si="20"/>
      </c>
      <c r="F17" s="139"/>
      <c r="G17" s="139"/>
      <c r="H17" s="140">
        <f t="shared" si="21"/>
      </c>
      <c r="I17" s="140">
        <f t="shared" si="22"/>
      </c>
      <c r="J17" s="141"/>
      <c r="K17" s="142"/>
      <c r="L17" s="142"/>
      <c r="M17" s="138">
        <f t="shared" si="23"/>
      </c>
      <c r="N17" s="143">
        <f t="shared" si="24"/>
      </c>
      <c r="O17" s="99"/>
      <c r="P17" s="148">
        <f t="shared" si="25"/>
      </c>
      <c r="Q17" s="138">
        <f t="shared" si="26"/>
      </c>
      <c r="R17" s="149">
        <f t="shared" si="2"/>
        <v>0</v>
      </c>
      <c r="S17" s="150">
        <f>IF(I17="","",IF(OR(X17="Bag",X17="Del Bag"),1,IF(R17=1,VLOOKUP(I17,'BP%'!$C$2:$D$26,2),IF(R17=2,VLOOKUP(I17,'BP%'!$A$2:$B$30,2),))))</f>
      </c>
      <c r="T17" s="151">
        <f aca="true" t="shared" si="35" ref="T17:T23">IF(B17=$AG$10,"",IF(AND(Q17="",S17=""),"",IF(OR(B17=$AG$7,X17="Del Bag"),IF(AI17="Use Diameter",AI17,ROUND(-(Q17*(S17)),2)),IF(AI17="Use Diameter",AI17,ROUND(Q17*(S17),2)))))</f>
      </c>
      <c r="U17" s="77"/>
      <c r="V17" s="77"/>
      <c r="W17" s="182">
        <f aca="true" t="shared" si="36" ref="W17:W23">IF(ISNA(MATCH(K17,$AK$5:$AO$5,1)),"",MATCH(K17,$AK$5:$AO$5,1))</f>
      </c>
      <c r="X17" s="169">
        <f aca="true" t="shared" si="37" ref="X17:X23">IF(B17=$AG$8,"Bag",IF(B17=$AG$9,"Del Bag",""))</f>
      </c>
      <c r="Y17" s="168">
        <f t="shared" si="27"/>
        <v>1</v>
      </c>
      <c r="Z17" s="76">
        <f t="shared" si="28"/>
        <v>0</v>
      </c>
      <c r="AA17" s="76">
        <f t="shared" si="29"/>
        <v>0</v>
      </c>
      <c r="AB17" s="76">
        <f t="shared" si="30"/>
        <v>0</v>
      </c>
      <c r="AC17" s="76">
        <f t="shared" si="31"/>
        <v>0</v>
      </c>
      <c r="AD17" s="108">
        <f>IF(B17=$AG$10,,IF(R17=1,VLOOKUP(I17,'BP%'!$C$2:$D$26,2),IF(R17=2,VLOOKUP(I17,'BP%'!$A$2:$B$30,2),)))</f>
        <v>0</v>
      </c>
      <c r="AE17" s="76">
        <f t="shared" si="32"/>
        <v>0</v>
      </c>
      <c r="AF17" s="157">
        <f t="shared" si="33"/>
        <v>20</v>
      </c>
      <c r="AI17" s="186" t="str">
        <f t="shared" si="34"/>
        <v>Not Bag</v>
      </c>
    </row>
    <row r="18" spans="1:35" s="53" customFormat="1" ht="14.25" customHeight="1">
      <c r="A18" s="78">
        <v>11</v>
      </c>
      <c r="B18" s="135"/>
      <c r="C18" s="136"/>
      <c r="D18" s="137"/>
      <c r="E18" s="138">
        <f t="shared" si="20"/>
      </c>
      <c r="F18" s="139"/>
      <c r="G18" s="139"/>
      <c r="H18" s="140">
        <f t="shared" si="21"/>
      </c>
      <c r="I18" s="140">
        <f t="shared" si="22"/>
      </c>
      <c r="J18" s="141"/>
      <c r="K18" s="142"/>
      <c r="L18" s="142"/>
      <c r="M18" s="138">
        <f t="shared" si="23"/>
      </c>
      <c r="N18" s="143">
        <f t="shared" si="24"/>
      </c>
      <c r="O18" s="99"/>
      <c r="P18" s="148">
        <f t="shared" si="25"/>
      </c>
      <c r="Q18" s="138">
        <f t="shared" si="26"/>
      </c>
      <c r="R18" s="149">
        <f t="shared" si="2"/>
        <v>0</v>
      </c>
      <c r="S18" s="150">
        <f>IF(I18="","",IF(OR(X18="Bag",X18="Del Bag"),1,IF(R18=1,VLOOKUP(I18,'BP%'!$C$2:$D$26,2),IF(R18=2,VLOOKUP(I18,'BP%'!$A$2:$B$30,2),))))</f>
      </c>
      <c r="T18" s="151">
        <f t="shared" si="35"/>
      </c>
      <c r="U18" s="77"/>
      <c r="V18" s="77"/>
      <c r="W18" s="182">
        <f t="shared" si="36"/>
      </c>
      <c r="X18" s="169">
        <f t="shared" si="37"/>
      </c>
      <c r="Y18" s="168">
        <f t="shared" si="27"/>
        <v>1</v>
      </c>
      <c r="Z18" s="76">
        <f t="shared" si="28"/>
        <v>0</v>
      </c>
      <c r="AA18" s="76">
        <f t="shared" si="29"/>
        <v>0</v>
      </c>
      <c r="AB18" s="76">
        <f t="shared" si="30"/>
        <v>0</v>
      </c>
      <c r="AC18" s="76">
        <f t="shared" si="31"/>
        <v>0</v>
      </c>
      <c r="AD18" s="108">
        <f>IF(B18=$AG$10,,IF(R18=1,VLOOKUP(I18,'BP%'!$C$2:$D$26,2),IF(R18=2,VLOOKUP(I18,'BP%'!$A$2:$B$30,2),)))</f>
        <v>0</v>
      </c>
      <c r="AE18" s="76">
        <f t="shared" si="32"/>
        <v>0</v>
      </c>
      <c r="AF18" s="157">
        <f t="shared" si="33"/>
        <v>20</v>
      </c>
      <c r="AI18" s="186" t="str">
        <f t="shared" si="34"/>
        <v>Not Bag</v>
      </c>
    </row>
    <row r="19" spans="1:35" s="53" customFormat="1" ht="14.25" customHeight="1">
      <c r="A19" s="78">
        <v>12</v>
      </c>
      <c r="B19" s="135"/>
      <c r="C19" s="136"/>
      <c r="D19" s="137"/>
      <c r="E19" s="138">
        <f t="shared" si="20"/>
      </c>
      <c r="F19" s="139"/>
      <c r="G19" s="139"/>
      <c r="H19" s="140">
        <f t="shared" si="21"/>
      </c>
      <c r="I19" s="140">
        <f t="shared" si="22"/>
      </c>
      <c r="J19" s="141"/>
      <c r="K19" s="142"/>
      <c r="L19" s="142"/>
      <c r="M19" s="138">
        <f t="shared" si="23"/>
      </c>
      <c r="N19" s="143">
        <f t="shared" si="24"/>
      </c>
      <c r="O19" s="99"/>
      <c r="P19" s="148">
        <f t="shared" si="25"/>
      </c>
      <c r="Q19" s="138">
        <f t="shared" si="26"/>
      </c>
      <c r="R19" s="149">
        <f t="shared" si="2"/>
        <v>0</v>
      </c>
      <c r="S19" s="150">
        <f>IF(I19="","",IF(OR(X19="Bag",X19="Del Bag"),1,IF(R19=1,VLOOKUP(I19,'BP%'!$C$2:$D$26,2),IF(R19=2,VLOOKUP(I19,'BP%'!$A$2:$B$30,2),))))</f>
      </c>
      <c r="T19" s="151">
        <f t="shared" si="35"/>
      </c>
      <c r="U19" s="77"/>
      <c r="V19" s="77"/>
      <c r="W19" s="182">
        <f t="shared" si="36"/>
      </c>
      <c r="X19" s="169">
        <f t="shared" si="37"/>
      </c>
      <c r="Y19" s="168">
        <f t="shared" si="27"/>
        <v>1</v>
      </c>
      <c r="Z19" s="76">
        <f t="shared" si="28"/>
        <v>0</v>
      </c>
      <c r="AA19" s="76">
        <f t="shared" si="29"/>
        <v>0</v>
      </c>
      <c r="AB19" s="76">
        <f t="shared" si="30"/>
        <v>0</v>
      </c>
      <c r="AC19" s="76">
        <f t="shared" si="31"/>
        <v>0</v>
      </c>
      <c r="AD19" s="108">
        <f>IF(B19=$AG$10,,IF(R19=1,VLOOKUP(I19,'BP%'!$C$2:$D$26,2),IF(R19=2,VLOOKUP(I19,'BP%'!$A$2:$B$30,2),)))</f>
        <v>0</v>
      </c>
      <c r="AE19" s="76">
        <f t="shared" si="32"/>
        <v>0</v>
      </c>
      <c r="AF19" s="157">
        <f t="shared" si="33"/>
        <v>20</v>
      </c>
      <c r="AI19" s="186" t="str">
        <f t="shared" si="34"/>
        <v>Not Bag</v>
      </c>
    </row>
    <row r="20" spans="1:35" s="53" customFormat="1" ht="14.25" customHeight="1">
      <c r="A20" s="78">
        <v>13</v>
      </c>
      <c r="B20" s="135"/>
      <c r="C20" s="136"/>
      <c r="D20" s="137"/>
      <c r="E20" s="138">
        <f t="shared" si="20"/>
      </c>
      <c r="F20" s="139"/>
      <c r="G20" s="139"/>
      <c r="H20" s="140">
        <f t="shared" si="21"/>
      </c>
      <c r="I20" s="140">
        <f t="shared" si="22"/>
      </c>
      <c r="J20" s="141"/>
      <c r="K20" s="142"/>
      <c r="L20" s="142"/>
      <c r="M20" s="138">
        <f t="shared" si="23"/>
      </c>
      <c r="N20" s="143">
        <f t="shared" si="24"/>
      </c>
      <c r="O20" s="99"/>
      <c r="P20" s="148">
        <f t="shared" si="25"/>
      </c>
      <c r="Q20" s="138">
        <f t="shared" si="26"/>
      </c>
      <c r="R20" s="149">
        <f t="shared" si="2"/>
        <v>0</v>
      </c>
      <c r="S20" s="150">
        <f>IF(I20="","",IF(OR(X20="Bag",X20="Del Bag"),1,IF(R20=1,VLOOKUP(I20,'BP%'!$C$2:$D$26,2),IF(R20=2,VLOOKUP(I20,'BP%'!$A$2:$B$30,2),))))</f>
      </c>
      <c r="T20" s="151">
        <f t="shared" si="35"/>
      </c>
      <c r="U20" s="77"/>
      <c r="V20" s="77"/>
      <c r="W20" s="182">
        <f t="shared" si="36"/>
      </c>
      <c r="X20" s="169">
        <f t="shared" si="37"/>
      </c>
      <c r="Y20" s="168">
        <f t="shared" si="27"/>
        <v>1</v>
      </c>
      <c r="Z20" s="76">
        <f t="shared" si="28"/>
        <v>0</v>
      </c>
      <c r="AA20" s="76">
        <f t="shared" si="29"/>
        <v>0</v>
      </c>
      <c r="AB20" s="76">
        <f t="shared" si="30"/>
        <v>0</v>
      </c>
      <c r="AC20" s="76">
        <f t="shared" si="31"/>
        <v>0</v>
      </c>
      <c r="AD20" s="108">
        <f>IF(B20=$AG$10,,IF(R20=1,VLOOKUP(I20,'BP%'!$C$2:$D$26,2),IF(R20=2,VLOOKUP(I20,'BP%'!$A$2:$B$30,2),)))</f>
        <v>0</v>
      </c>
      <c r="AE20" s="76">
        <f t="shared" si="32"/>
        <v>0</v>
      </c>
      <c r="AF20" s="157">
        <f t="shared" si="33"/>
        <v>20</v>
      </c>
      <c r="AI20" s="186" t="str">
        <f t="shared" si="34"/>
        <v>Not Bag</v>
      </c>
    </row>
    <row r="21" spans="1:35" s="53" customFormat="1" ht="14.25" customHeight="1">
      <c r="A21" s="78">
        <v>14</v>
      </c>
      <c r="B21" s="135"/>
      <c r="C21" s="136"/>
      <c r="D21" s="137"/>
      <c r="E21" s="138">
        <f t="shared" si="20"/>
      </c>
      <c r="F21" s="139"/>
      <c r="G21" s="139"/>
      <c r="H21" s="140">
        <f t="shared" si="21"/>
      </c>
      <c r="I21" s="140">
        <f t="shared" si="22"/>
      </c>
      <c r="J21" s="141"/>
      <c r="K21" s="142"/>
      <c r="L21" s="142"/>
      <c r="M21" s="138">
        <f t="shared" si="23"/>
      </c>
      <c r="N21" s="143">
        <f t="shared" si="24"/>
      </c>
      <c r="O21" s="99"/>
      <c r="P21" s="148">
        <f t="shared" si="25"/>
      </c>
      <c r="Q21" s="138">
        <f t="shared" si="26"/>
      </c>
      <c r="R21" s="149">
        <f t="shared" si="2"/>
        <v>0</v>
      </c>
      <c r="S21" s="150">
        <f>IF(I21="","",IF(OR(X21="Bag",X21="Del Bag"),1,IF(R21=1,VLOOKUP(I21,'BP%'!$C$2:$D$26,2),IF(R21=2,VLOOKUP(I21,'BP%'!$A$2:$B$30,2),))))</f>
      </c>
      <c r="T21" s="151">
        <f t="shared" si="35"/>
      </c>
      <c r="U21" s="77"/>
      <c r="V21" s="77"/>
      <c r="W21" s="182">
        <f t="shared" si="36"/>
      </c>
      <c r="X21" s="169">
        <f t="shared" si="37"/>
      </c>
      <c r="Y21" s="168">
        <f t="shared" si="27"/>
        <v>1</v>
      </c>
      <c r="Z21" s="76">
        <f t="shared" si="28"/>
        <v>0</v>
      </c>
      <c r="AA21" s="76">
        <f t="shared" si="29"/>
        <v>0</v>
      </c>
      <c r="AB21" s="76">
        <f t="shared" si="30"/>
        <v>0</v>
      </c>
      <c r="AC21" s="76">
        <f t="shared" si="31"/>
        <v>0</v>
      </c>
      <c r="AD21" s="108">
        <f>IF(B21=$AG$10,,IF(R21=1,VLOOKUP(I21,'BP%'!$C$2:$D$26,2),IF(R21=2,VLOOKUP(I21,'BP%'!$A$2:$B$30,2),)))</f>
        <v>0</v>
      </c>
      <c r="AE21" s="76">
        <f t="shared" si="32"/>
        <v>0</v>
      </c>
      <c r="AF21" s="157">
        <f t="shared" si="33"/>
        <v>20</v>
      </c>
      <c r="AI21" s="186" t="str">
        <f t="shared" si="34"/>
        <v>Not Bag</v>
      </c>
    </row>
    <row r="22" spans="1:35" s="53" customFormat="1" ht="14.25" customHeight="1">
      <c r="A22" s="78">
        <v>15</v>
      </c>
      <c r="B22" s="135"/>
      <c r="C22" s="136"/>
      <c r="D22" s="137"/>
      <c r="E22" s="138">
        <f t="shared" si="20"/>
      </c>
      <c r="F22" s="139"/>
      <c r="G22" s="139"/>
      <c r="H22" s="140">
        <f t="shared" si="21"/>
      </c>
      <c r="I22" s="140">
        <f t="shared" si="22"/>
      </c>
      <c r="J22" s="141"/>
      <c r="K22" s="142"/>
      <c r="L22" s="142"/>
      <c r="M22" s="138">
        <f t="shared" si="23"/>
      </c>
      <c r="N22" s="143">
        <f t="shared" si="24"/>
      </c>
      <c r="O22" s="99"/>
      <c r="P22" s="148">
        <f t="shared" si="25"/>
      </c>
      <c r="Q22" s="138">
        <f t="shared" si="26"/>
      </c>
      <c r="R22" s="149">
        <f t="shared" si="2"/>
        <v>0</v>
      </c>
      <c r="S22" s="150">
        <f>IF(I22="","",IF(OR(X22="Bag",X22="Del Bag"),1,IF(R22=1,VLOOKUP(I22,'BP%'!$C$2:$D$26,2),IF(R22=2,VLOOKUP(I22,'BP%'!$A$2:$B$30,2),))))</f>
      </c>
      <c r="T22" s="151">
        <f t="shared" si="35"/>
      </c>
      <c r="U22" s="77"/>
      <c r="V22" s="77"/>
      <c r="W22" s="182">
        <f t="shared" si="36"/>
      </c>
      <c r="X22" s="169">
        <f t="shared" si="37"/>
      </c>
      <c r="Y22" s="168">
        <f t="shared" si="27"/>
        <v>1</v>
      </c>
      <c r="Z22" s="76">
        <f t="shared" si="28"/>
        <v>0</v>
      </c>
      <c r="AA22" s="76">
        <f t="shared" si="29"/>
        <v>0</v>
      </c>
      <c r="AB22" s="76">
        <f t="shared" si="30"/>
        <v>0</v>
      </c>
      <c r="AC22" s="76">
        <f t="shared" si="31"/>
        <v>0</v>
      </c>
      <c r="AD22" s="108">
        <f>IF(B22=$AG$10,,IF(R22=1,VLOOKUP(I22,'BP%'!$C$2:$D$26,2),IF(R22=2,VLOOKUP(I22,'BP%'!$A$2:$B$30,2),)))</f>
        <v>0</v>
      </c>
      <c r="AE22" s="76">
        <f t="shared" si="32"/>
        <v>0</v>
      </c>
      <c r="AF22" s="157">
        <f t="shared" si="33"/>
        <v>20</v>
      </c>
      <c r="AI22" s="186" t="str">
        <f t="shared" si="34"/>
        <v>Not Bag</v>
      </c>
    </row>
    <row r="23" spans="1:35" s="53" customFormat="1" ht="14.25" customHeight="1">
      <c r="A23" s="78">
        <v>16</v>
      </c>
      <c r="B23" s="135"/>
      <c r="C23" s="136"/>
      <c r="D23" s="137"/>
      <c r="E23" s="138">
        <f t="shared" si="20"/>
      </c>
      <c r="F23" s="139"/>
      <c r="G23" s="139"/>
      <c r="H23" s="140">
        <f t="shared" si="21"/>
      </c>
      <c r="I23" s="140">
        <f t="shared" si="22"/>
      </c>
      <c r="J23" s="141"/>
      <c r="K23" s="142"/>
      <c r="L23" s="142"/>
      <c r="M23" s="138">
        <f t="shared" si="23"/>
      </c>
      <c r="N23" s="143">
        <f t="shared" si="24"/>
      </c>
      <c r="O23" s="99"/>
      <c r="P23" s="148">
        <f t="shared" si="25"/>
      </c>
      <c r="Q23" s="138">
        <f t="shared" si="26"/>
      </c>
      <c r="R23" s="149">
        <f t="shared" si="2"/>
        <v>0</v>
      </c>
      <c r="S23" s="150">
        <f>IF(I23="","",IF(OR(X23="Bag",X23="Del Bag"),1,IF(R23=1,VLOOKUP(I23,'BP%'!$C$2:$D$26,2),IF(R23=2,VLOOKUP(I23,'BP%'!$A$2:$B$30,2),))))</f>
      </c>
      <c r="T23" s="151">
        <f t="shared" si="35"/>
      </c>
      <c r="U23" s="77"/>
      <c r="V23" s="77"/>
      <c r="W23" s="182">
        <f t="shared" si="36"/>
      </c>
      <c r="X23" s="169">
        <f t="shared" si="37"/>
      </c>
      <c r="Y23" s="168">
        <f>IF(OR(X23="Bag",X23="Del Bag"),$Y$4,1)</f>
        <v>1</v>
      </c>
      <c r="Z23" s="76">
        <f t="shared" si="28"/>
        <v>0</v>
      </c>
      <c r="AA23" s="76">
        <f t="shared" si="29"/>
        <v>0</v>
      </c>
      <c r="AB23" s="76">
        <f t="shared" si="30"/>
        <v>0</v>
      </c>
      <c r="AC23" s="76">
        <f t="shared" si="31"/>
        <v>0</v>
      </c>
      <c r="AD23" s="108">
        <f>IF(B23=$AG$10,,IF(R23=1,VLOOKUP(I23,'BP%'!$C$2:$D$26,2),IF(R23=2,VLOOKUP(I23,'BP%'!$A$2:$B$30,2),)))</f>
        <v>0</v>
      </c>
      <c r="AE23" s="76">
        <f t="shared" si="32"/>
        <v>0</v>
      </c>
      <c r="AF23" s="157">
        <f t="shared" si="33"/>
        <v>20</v>
      </c>
      <c r="AI23" s="186" t="str">
        <f t="shared" si="34"/>
        <v>Not Bag</v>
      </c>
    </row>
    <row r="24" spans="1:35" s="53" customFormat="1" ht="0.75" customHeight="1">
      <c r="A24" s="81"/>
      <c r="B24" s="82"/>
      <c r="C24" s="82"/>
      <c r="D24" s="82"/>
      <c r="E24" s="82"/>
      <c r="F24" s="84"/>
      <c r="G24" s="85"/>
      <c r="H24" s="85"/>
      <c r="I24" s="85"/>
      <c r="J24" s="85"/>
      <c r="K24" s="85"/>
      <c r="L24" s="85"/>
      <c r="M24" s="85"/>
      <c r="N24" s="85"/>
      <c r="O24" s="85"/>
      <c r="P24" s="85"/>
      <c r="Q24" s="145"/>
      <c r="R24" s="146"/>
      <c r="S24" s="147"/>
      <c r="T24" s="83"/>
      <c r="U24" s="74"/>
      <c r="V24" s="77"/>
      <c r="W24" s="74"/>
      <c r="X24" s="74"/>
      <c r="Y24" s="69"/>
      <c r="Z24" s="69"/>
      <c r="AA24" s="69"/>
      <c r="AB24" s="69"/>
      <c r="AC24" s="69"/>
      <c r="AD24" s="69"/>
      <c r="AE24" s="69"/>
      <c r="AF24" s="69"/>
      <c r="AI24" s="187"/>
    </row>
    <row r="25" spans="1:35" s="53" customFormat="1" ht="18.75" customHeight="1">
      <c r="A25" s="194" t="s">
        <v>141</v>
      </c>
      <c r="B25" s="196"/>
      <c r="C25" s="196"/>
      <c r="D25" s="196"/>
      <c r="E25" s="196"/>
      <c r="F25" s="209"/>
      <c r="G25" s="209"/>
      <c r="H25" s="209"/>
      <c r="I25" s="209"/>
      <c r="J25" s="209"/>
      <c r="K25" s="209"/>
      <c r="L25" s="209"/>
      <c r="M25" s="209"/>
      <c r="N25" s="209"/>
      <c r="O25" s="209"/>
      <c r="P25" s="209"/>
      <c r="Q25" s="82" t="s">
        <v>171</v>
      </c>
      <c r="R25" s="152"/>
      <c r="S25" s="207">
        <f>IF(ISERROR(IF(SUM(T26:T33)=0,"",SUM(T26:T33))),,IF(SUM(T26:T33)=0,"",SUM(T26:T33)))</f>
      </c>
      <c r="T25" s="208"/>
      <c r="U25" s="74"/>
      <c r="V25" s="74"/>
      <c r="W25" s="74"/>
      <c r="X25" s="74"/>
      <c r="Y25" s="74"/>
      <c r="Z25" s="69"/>
      <c r="AA25" s="69"/>
      <c r="AB25" s="69"/>
      <c r="AC25" s="69"/>
      <c r="AD25" s="69"/>
      <c r="AE25" s="69"/>
      <c r="AF25" s="69"/>
      <c r="AI25" s="187"/>
    </row>
    <row r="26" spans="1:35" s="53" customFormat="1" ht="14.25" customHeight="1">
      <c r="A26" s="78">
        <v>17</v>
      </c>
      <c r="B26" s="135"/>
      <c r="C26" s="136"/>
      <c r="D26" s="137"/>
      <c r="E26" s="138">
        <f aca="true" t="shared" si="38" ref="E26:E33">IF(ISBLANK(D26),"",D26/2)</f>
      </c>
      <c r="F26" s="139"/>
      <c r="G26" s="139"/>
      <c r="H26" s="140">
        <f aca="true" t="shared" si="39" ref="H26:H33">IF(AND(ISBLANK(D26),ISBLANK(F26),ISBLANK(G26)),"",IF(AND(ISNUMBER(D26),ISBLANK(F26),ISBLANK(G26)),PI()*(E26^2),IF(AND(ISBLANK(D26),ISNUMBER(F26),ISNUMBER(G26)),F26*G26,)))</f>
      </c>
      <c r="I26" s="140">
        <f aca="true" t="shared" si="40" ref="I26:I33">IF(H26="","",IF(AND(B27=$AG$10,OR(B26=$AG$6,B26=$AG$7)),(H26/1.244)-I27,H26/1.244*Y26))</f>
      </c>
      <c r="J26" s="141"/>
      <c r="K26" s="142"/>
      <c r="L26" s="142"/>
      <c r="M26" s="138">
        <f aca="true" t="shared" si="41" ref="M26:M33">IF(ISBLANK(K26),"",K26-L26)</f>
      </c>
      <c r="N26" s="143">
        <f aca="true" t="shared" si="42" ref="N26:N33">IF(OR(X26="Bag",X26="Del Bag"),"",IF(OR(AE26=500,AE26&gt;500),IF(AC26=0,"",AC26),IF(ISNUMBER(O26),O26,IF(ISBLANK(D26),"",D26*0.06))))</f>
      </c>
      <c r="O26" s="99"/>
      <c r="P26" s="148">
        <f aca="true" t="shared" si="43" ref="P26:P33">IF(AND(M26="",N26=""),"",IF(M26="",,M26)+IF(N26="",,N26))</f>
      </c>
      <c r="Q26" s="138">
        <f aca="true" t="shared" si="44" ref="Q26:Q33">IF(ISBLANK(K26),"",I26*P26)</f>
      </c>
      <c r="R26" s="149">
        <f t="shared" si="2"/>
        <v>0</v>
      </c>
      <c r="S26" s="150">
        <f>IF(I26="","",IF(OR(X26="Bag",X26="Del Bag"),1,IF(R26=1,VLOOKUP(I26,'BP%'!$C$2:$D$26,2),IF(R26=2,VLOOKUP(I26,'BP%'!$A$2:$B$30,2),))))</f>
      </c>
      <c r="T26" s="151">
        <f>IF(B26=$AG$10,"",IF(AND(Q26="",S26=""),"",IF(OR(B26=$AG$7,X26="Del Bag"),IF(AI26="Use Diameter",AI26,ROUND(-(Q26*(S26)),2)),IF(AI26="Use Diameter",AI26,ROUND(Q26*(S26),2)))))</f>
      </c>
      <c r="U26" s="77"/>
      <c r="V26" s="74"/>
      <c r="W26" s="182">
        <f>IF(ISNA(MATCH(K26,$AK$5:$AO$5,1)),"",MATCH(K26,$AK$5:$AO$5,1))</f>
      </c>
      <c r="X26" s="169">
        <f>IF(B26=$AG$8,"Bag",IF(B26=$AG$9,"Del Bag",""))</f>
      </c>
      <c r="Y26" s="168">
        <f aca="true" t="shared" si="45" ref="Y26:Y32">IF(OR(X26="Bag",X26="Del Bag"),$Y$4,1)</f>
        <v>1</v>
      </c>
      <c r="Z26" s="76">
        <f aca="true" t="shared" si="46" ref="Z26:Z33">IF(ISBLANK(O26),(MIN(F26:G26)*0.5)*(TAN(RADIANS(20))),O26)</f>
        <v>0</v>
      </c>
      <c r="AA26" s="76">
        <f aca="true" t="shared" si="47" ref="AA26:AA33">MAX(F26:G26)-(2*(Z26/IF(AF26=0,TAN(RADIANS(20)),TAN(RADIANS(AF26)))))</f>
        <v>0</v>
      </c>
      <c r="AB26" s="76">
        <f aca="true" t="shared" si="48" ref="AB26:AB36">(MIN(F26:G26)*IF(AND(ISNUMBER(O26),OR(O26&gt;0,O26=0)),O26,Z26)*((2*MAX(F26:G26))+AA26))/6</f>
        <v>0</v>
      </c>
      <c r="AC26" s="76">
        <f aca="true" t="shared" si="49" ref="AC26:AC33">IF(I26="",,(AB26/1.244)/I26)</f>
        <v>0</v>
      </c>
      <c r="AD26" s="108">
        <f>IF(B26=$AG$10,,IF(R26=1,VLOOKUP(I26,'BP%'!$C$2:$D$26,2),IF(R26=2,VLOOKUP(I26,'BP%'!$A$2:$B$30,2),)))</f>
        <v>0</v>
      </c>
      <c r="AE26" s="76">
        <f aca="true" t="shared" si="50" ref="AE26:AE33">IF(I26="",,I26)*AC26*AD26</f>
        <v>0</v>
      </c>
      <c r="AF26" s="157">
        <f aca="true" t="shared" si="51" ref="AF26:AF33">IF(ISBLANK(O26),20,IF(O26=0,,DEGREES(ATAN2(MIN(F26:G26)/2,O26))))</f>
        <v>20</v>
      </c>
      <c r="AI26" s="186" t="str">
        <f aca="true" t="shared" si="52" ref="AI26:AI33">IF(OR(B26=$AG$8,B26=$AG$9),IF(AND(ISNUMBER(D26),ISBLANK(F26),ISBLANK(G26)),"OK","Use Diameter"),"Not Bag")</f>
        <v>Not Bag</v>
      </c>
    </row>
    <row r="27" spans="1:35" s="53" customFormat="1" ht="14.25" customHeight="1">
      <c r="A27" s="78">
        <v>18</v>
      </c>
      <c r="B27" s="135"/>
      <c r="C27" s="136"/>
      <c r="D27" s="137"/>
      <c r="E27" s="138">
        <f t="shared" si="38"/>
      </c>
      <c r="F27" s="139"/>
      <c r="G27" s="139"/>
      <c r="H27" s="140">
        <f t="shared" si="39"/>
      </c>
      <c r="I27" s="140">
        <f t="shared" si="40"/>
      </c>
      <c r="J27" s="141"/>
      <c r="K27" s="142"/>
      <c r="L27" s="142"/>
      <c r="M27" s="138">
        <f t="shared" si="41"/>
      </c>
      <c r="N27" s="143">
        <f t="shared" si="42"/>
      </c>
      <c r="O27" s="99"/>
      <c r="P27" s="148">
        <f t="shared" si="43"/>
      </c>
      <c r="Q27" s="138">
        <f t="shared" si="44"/>
      </c>
      <c r="R27" s="149">
        <f t="shared" si="2"/>
        <v>0</v>
      </c>
      <c r="S27" s="150">
        <f>IF(I27="","",IF(OR(X27="Bag",X27="Del Bag"),1,IF(R27=1,VLOOKUP(I27,'BP%'!$C$2:$D$26,2),IF(R27=2,VLOOKUP(I27,'BP%'!$A$2:$B$30,2),))))</f>
      </c>
      <c r="T27" s="151">
        <f aca="true" t="shared" si="53" ref="T27:T33">IF(B27=$AG$10,"",IF(AND(Q27="",S27=""),"",IF(OR(B27=$AG$7,X27="Del Bag"),IF(AI27="Use Diameter",AI27,ROUND(-(Q27*(S27)),2)),IF(AI27="Use Diameter",AI27,ROUND(Q27*(S27),2)))))</f>
      </c>
      <c r="U27" s="77"/>
      <c r="V27" s="77"/>
      <c r="W27" s="182">
        <f aca="true" t="shared" si="54" ref="W27:W33">IF(ISNA(MATCH(K27,$AK$5:$AO$5,1)),"",MATCH(K27,$AK$5:$AO$5,1))</f>
      </c>
      <c r="X27" s="169">
        <f aca="true" t="shared" si="55" ref="X27:X33">IF(B27=$AG$8,"Bag",IF(B27=$AG$9,"Del Bag",""))</f>
      </c>
      <c r="Y27" s="168">
        <f t="shared" si="45"/>
        <v>1</v>
      </c>
      <c r="Z27" s="76">
        <f t="shared" si="46"/>
        <v>0</v>
      </c>
      <c r="AA27" s="76">
        <f t="shared" si="47"/>
        <v>0</v>
      </c>
      <c r="AB27" s="76">
        <f t="shared" si="48"/>
        <v>0</v>
      </c>
      <c r="AC27" s="76">
        <f t="shared" si="49"/>
        <v>0</v>
      </c>
      <c r="AD27" s="108">
        <f>IF(B27=$AG$10,,IF(R27=1,VLOOKUP(I27,'BP%'!$C$2:$D$26,2),IF(R27=2,VLOOKUP(I27,'BP%'!$A$2:$B$30,2),)))</f>
        <v>0</v>
      </c>
      <c r="AE27" s="76">
        <f t="shared" si="50"/>
        <v>0</v>
      </c>
      <c r="AF27" s="157">
        <f t="shared" si="51"/>
        <v>20</v>
      </c>
      <c r="AI27" s="186" t="str">
        <f t="shared" si="52"/>
        <v>Not Bag</v>
      </c>
    </row>
    <row r="28" spans="1:35" s="53" customFormat="1" ht="14.25" customHeight="1">
      <c r="A28" s="78">
        <v>19</v>
      </c>
      <c r="B28" s="135"/>
      <c r="C28" s="136"/>
      <c r="D28" s="137"/>
      <c r="E28" s="138">
        <f t="shared" si="38"/>
      </c>
      <c r="F28" s="139"/>
      <c r="G28" s="139"/>
      <c r="H28" s="140">
        <f t="shared" si="39"/>
      </c>
      <c r="I28" s="140">
        <f t="shared" si="40"/>
      </c>
      <c r="J28" s="141"/>
      <c r="K28" s="142"/>
      <c r="L28" s="142"/>
      <c r="M28" s="138">
        <f t="shared" si="41"/>
      </c>
      <c r="N28" s="143">
        <f t="shared" si="42"/>
      </c>
      <c r="O28" s="99"/>
      <c r="P28" s="148">
        <f t="shared" si="43"/>
      </c>
      <c r="Q28" s="138">
        <f t="shared" si="44"/>
      </c>
      <c r="R28" s="149">
        <f t="shared" si="2"/>
        <v>0</v>
      </c>
      <c r="S28" s="150">
        <f>IF(I28="","",IF(OR(X28="Bag",X28="Del Bag"),1,IF(R28=1,VLOOKUP(I28,'BP%'!$C$2:$D$26,2),IF(R28=2,VLOOKUP(I28,'BP%'!$A$2:$B$30,2),))))</f>
      </c>
      <c r="T28" s="151">
        <f t="shared" si="53"/>
      </c>
      <c r="U28" s="77"/>
      <c r="V28" s="77"/>
      <c r="W28" s="182">
        <f t="shared" si="54"/>
      </c>
      <c r="X28" s="169">
        <f t="shared" si="55"/>
      </c>
      <c r="Y28" s="168">
        <f t="shared" si="45"/>
        <v>1</v>
      </c>
      <c r="Z28" s="76">
        <f t="shared" si="46"/>
        <v>0</v>
      </c>
      <c r="AA28" s="76">
        <f t="shared" si="47"/>
        <v>0</v>
      </c>
      <c r="AB28" s="76">
        <f t="shared" si="48"/>
        <v>0</v>
      </c>
      <c r="AC28" s="76">
        <f t="shared" si="49"/>
        <v>0</v>
      </c>
      <c r="AD28" s="108">
        <f>IF(B28=$AG$10,,IF(R28=1,VLOOKUP(I28,'BP%'!$C$2:$D$26,2),IF(R28=2,VLOOKUP(I28,'BP%'!$A$2:$B$30,2),)))</f>
        <v>0</v>
      </c>
      <c r="AE28" s="76">
        <f t="shared" si="50"/>
        <v>0</v>
      </c>
      <c r="AF28" s="157">
        <f t="shared" si="51"/>
        <v>20</v>
      </c>
      <c r="AI28" s="186" t="str">
        <f t="shared" si="52"/>
        <v>Not Bag</v>
      </c>
    </row>
    <row r="29" spans="1:35" s="53" customFormat="1" ht="14.25" customHeight="1">
      <c r="A29" s="78">
        <v>20</v>
      </c>
      <c r="B29" s="135"/>
      <c r="C29" s="136"/>
      <c r="D29" s="137"/>
      <c r="E29" s="138">
        <f t="shared" si="38"/>
      </c>
      <c r="F29" s="139"/>
      <c r="G29" s="139"/>
      <c r="H29" s="140">
        <f t="shared" si="39"/>
      </c>
      <c r="I29" s="140">
        <f t="shared" si="40"/>
      </c>
      <c r="J29" s="141"/>
      <c r="K29" s="142"/>
      <c r="L29" s="142"/>
      <c r="M29" s="138">
        <f t="shared" si="41"/>
      </c>
      <c r="N29" s="143">
        <f t="shared" si="42"/>
      </c>
      <c r="O29" s="99"/>
      <c r="P29" s="148">
        <f t="shared" si="43"/>
      </c>
      <c r="Q29" s="138">
        <f t="shared" si="44"/>
      </c>
      <c r="R29" s="149">
        <f t="shared" si="2"/>
        <v>0</v>
      </c>
      <c r="S29" s="150">
        <f>IF(I29="","",IF(OR(X29="Bag",X29="Del Bag"),1,IF(R29=1,VLOOKUP(I29,'BP%'!$C$2:$D$26,2),IF(R29=2,VLOOKUP(I29,'BP%'!$A$2:$B$30,2),))))</f>
      </c>
      <c r="T29" s="151">
        <f t="shared" si="53"/>
      </c>
      <c r="U29" s="77"/>
      <c r="V29" s="77"/>
      <c r="W29" s="182">
        <f t="shared" si="54"/>
      </c>
      <c r="X29" s="169">
        <f t="shared" si="55"/>
      </c>
      <c r="Y29" s="168">
        <f t="shared" si="45"/>
        <v>1</v>
      </c>
      <c r="Z29" s="76">
        <f t="shared" si="46"/>
        <v>0</v>
      </c>
      <c r="AA29" s="76">
        <f t="shared" si="47"/>
        <v>0</v>
      </c>
      <c r="AB29" s="76">
        <f t="shared" si="48"/>
        <v>0</v>
      </c>
      <c r="AC29" s="76">
        <f t="shared" si="49"/>
        <v>0</v>
      </c>
      <c r="AD29" s="108">
        <f>IF(B29=$AG$10,,IF(R29=1,VLOOKUP(I29,'BP%'!$C$2:$D$26,2),IF(R29=2,VLOOKUP(I29,'BP%'!$A$2:$B$30,2),)))</f>
        <v>0</v>
      </c>
      <c r="AE29" s="76">
        <f t="shared" si="50"/>
        <v>0</v>
      </c>
      <c r="AF29" s="157">
        <f t="shared" si="51"/>
        <v>20</v>
      </c>
      <c r="AI29" s="186" t="str">
        <f t="shared" si="52"/>
        <v>Not Bag</v>
      </c>
    </row>
    <row r="30" spans="1:35" s="53" customFormat="1" ht="14.25" customHeight="1">
      <c r="A30" s="78">
        <v>21</v>
      </c>
      <c r="B30" s="135"/>
      <c r="C30" s="136"/>
      <c r="D30" s="137"/>
      <c r="E30" s="138">
        <f t="shared" si="38"/>
      </c>
      <c r="F30" s="139"/>
      <c r="G30" s="139"/>
      <c r="H30" s="140">
        <f t="shared" si="39"/>
      </c>
      <c r="I30" s="140">
        <f t="shared" si="40"/>
      </c>
      <c r="J30" s="141"/>
      <c r="K30" s="142"/>
      <c r="L30" s="142"/>
      <c r="M30" s="138">
        <f t="shared" si="41"/>
      </c>
      <c r="N30" s="143">
        <f t="shared" si="42"/>
      </c>
      <c r="O30" s="99"/>
      <c r="P30" s="148">
        <f t="shared" si="43"/>
      </c>
      <c r="Q30" s="138">
        <f t="shared" si="44"/>
      </c>
      <c r="R30" s="149">
        <f t="shared" si="2"/>
        <v>0</v>
      </c>
      <c r="S30" s="150">
        <f>IF(I30="","",IF(OR(X30="Bag",X30="Del Bag"),1,IF(R30=1,VLOOKUP(I30,'BP%'!$C$2:$D$26,2),IF(R30=2,VLOOKUP(I30,'BP%'!$A$2:$B$30,2),))))</f>
      </c>
      <c r="T30" s="151">
        <f t="shared" si="53"/>
      </c>
      <c r="U30" s="77"/>
      <c r="V30" s="77"/>
      <c r="W30" s="182">
        <f t="shared" si="54"/>
      </c>
      <c r="X30" s="169">
        <f t="shared" si="55"/>
      </c>
      <c r="Y30" s="168">
        <f t="shared" si="45"/>
        <v>1</v>
      </c>
      <c r="Z30" s="76">
        <f t="shared" si="46"/>
        <v>0</v>
      </c>
      <c r="AA30" s="76">
        <f t="shared" si="47"/>
        <v>0</v>
      </c>
      <c r="AB30" s="76">
        <f t="shared" si="48"/>
        <v>0</v>
      </c>
      <c r="AC30" s="76">
        <f t="shared" si="49"/>
        <v>0</v>
      </c>
      <c r="AD30" s="108">
        <f>IF(B30=$AG$10,,IF(R30=1,VLOOKUP(I30,'BP%'!$C$2:$D$26,2),IF(R30=2,VLOOKUP(I30,'BP%'!$A$2:$B$30,2),)))</f>
        <v>0</v>
      </c>
      <c r="AE30" s="76">
        <f t="shared" si="50"/>
        <v>0</v>
      </c>
      <c r="AF30" s="157">
        <f t="shared" si="51"/>
        <v>20</v>
      </c>
      <c r="AI30" s="186" t="str">
        <f t="shared" si="52"/>
        <v>Not Bag</v>
      </c>
    </row>
    <row r="31" spans="1:35" s="53" customFormat="1" ht="14.25" customHeight="1">
      <c r="A31" s="78">
        <v>22</v>
      </c>
      <c r="B31" s="135"/>
      <c r="C31" s="136"/>
      <c r="D31" s="137"/>
      <c r="E31" s="138">
        <f t="shared" si="38"/>
      </c>
      <c r="F31" s="139"/>
      <c r="G31" s="139"/>
      <c r="H31" s="140">
        <f t="shared" si="39"/>
      </c>
      <c r="I31" s="140">
        <f t="shared" si="40"/>
      </c>
      <c r="J31" s="141"/>
      <c r="K31" s="142"/>
      <c r="L31" s="142"/>
      <c r="M31" s="138">
        <f t="shared" si="41"/>
      </c>
      <c r="N31" s="143">
        <f t="shared" si="42"/>
      </c>
      <c r="O31" s="99"/>
      <c r="P31" s="148">
        <f t="shared" si="43"/>
      </c>
      <c r="Q31" s="138">
        <f t="shared" si="44"/>
      </c>
      <c r="R31" s="149">
        <f t="shared" si="2"/>
        <v>0</v>
      </c>
      <c r="S31" s="150">
        <f>IF(I31="","",IF(OR(X31="Bag",X31="Del Bag"),1,IF(R31=1,VLOOKUP(I31,'BP%'!$C$2:$D$26,2),IF(R31=2,VLOOKUP(I31,'BP%'!$A$2:$B$30,2),))))</f>
      </c>
      <c r="T31" s="151">
        <f t="shared" si="53"/>
      </c>
      <c r="U31" s="77"/>
      <c r="V31" s="77"/>
      <c r="W31" s="182">
        <f t="shared" si="54"/>
      </c>
      <c r="X31" s="169">
        <f t="shared" si="55"/>
      </c>
      <c r="Y31" s="168">
        <f t="shared" si="45"/>
        <v>1</v>
      </c>
      <c r="Z31" s="76">
        <f t="shared" si="46"/>
        <v>0</v>
      </c>
      <c r="AA31" s="76">
        <f t="shared" si="47"/>
        <v>0</v>
      </c>
      <c r="AB31" s="76">
        <f t="shared" si="48"/>
        <v>0</v>
      </c>
      <c r="AC31" s="76">
        <f t="shared" si="49"/>
        <v>0</v>
      </c>
      <c r="AD31" s="108">
        <f>IF(B31=$AG$10,,IF(R31=1,VLOOKUP(I31,'BP%'!$C$2:$D$26,2),IF(R31=2,VLOOKUP(I31,'BP%'!$A$2:$B$30,2),)))</f>
        <v>0</v>
      </c>
      <c r="AE31" s="76">
        <f t="shared" si="50"/>
        <v>0</v>
      </c>
      <c r="AF31" s="157">
        <f t="shared" si="51"/>
        <v>20</v>
      </c>
      <c r="AI31" s="186" t="str">
        <f t="shared" si="52"/>
        <v>Not Bag</v>
      </c>
    </row>
    <row r="32" spans="1:35" s="53" customFormat="1" ht="14.25" customHeight="1">
      <c r="A32" s="78">
        <v>23</v>
      </c>
      <c r="B32" s="135"/>
      <c r="C32" s="136"/>
      <c r="D32" s="137"/>
      <c r="E32" s="138">
        <f t="shared" si="38"/>
      </c>
      <c r="F32" s="139"/>
      <c r="G32" s="139"/>
      <c r="H32" s="140">
        <f t="shared" si="39"/>
      </c>
      <c r="I32" s="140">
        <f t="shared" si="40"/>
      </c>
      <c r="J32" s="141"/>
      <c r="K32" s="142"/>
      <c r="L32" s="142"/>
      <c r="M32" s="138">
        <f t="shared" si="41"/>
      </c>
      <c r="N32" s="143">
        <f t="shared" si="42"/>
      </c>
      <c r="O32" s="99"/>
      <c r="P32" s="148">
        <f t="shared" si="43"/>
      </c>
      <c r="Q32" s="138">
        <f t="shared" si="44"/>
      </c>
      <c r="R32" s="149">
        <f t="shared" si="2"/>
        <v>0</v>
      </c>
      <c r="S32" s="150">
        <f>IF(I32="","",IF(OR(X32="Bag",X32="Del Bag"),1,IF(R32=1,VLOOKUP(I32,'BP%'!$C$2:$D$26,2),IF(R32=2,VLOOKUP(I32,'BP%'!$A$2:$B$30,2),))))</f>
      </c>
      <c r="T32" s="151">
        <f t="shared" si="53"/>
      </c>
      <c r="U32" s="77"/>
      <c r="V32" s="77"/>
      <c r="W32" s="182">
        <f t="shared" si="54"/>
      </c>
      <c r="X32" s="169">
        <f t="shared" si="55"/>
      </c>
      <c r="Y32" s="168">
        <f t="shared" si="45"/>
        <v>1</v>
      </c>
      <c r="Z32" s="76">
        <f t="shared" si="46"/>
        <v>0</v>
      </c>
      <c r="AA32" s="76">
        <f t="shared" si="47"/>
        <v>0</v>
      </c>
      <c r="AB32" s="76">
        <f t="shared" si="48"/>
        <v>0</v>
      </c>
      <c r="AC32" s="76">
        <f t="shared" si="49"/>
        <v>0</v>
      </c>
      <c r="AD32" s="108">
        <f>IF(B32=$AG$10,,IF(R32=1,VLOOKUP(I32,'BP%'!$C$2:$D$26,2),IF(R32=2,VLOOKUP(I32,'BP%'!$A$2:$B$30,2),)))</f>
        <v>0</v>
      </c>
      <c r="AE32" s="76">
        <f t="shared" si="50"/>
        <v>0</v>
      </c>
      <c r="AF32" s="157">
        <f t="shared" si="51"/>
        <v>20</v>
      </c>
      <c r="AI32" s="186" t="str">
        <f t="shared" si="52"/>
        <v>Not Bag</v>
      </c>
    </row>
    <row r="33" spans="1:35" s="53" customFormat="1" ht="14.25" customHeight="1">
      <c r="A33" s="78">
        <v>24</v>
      </c>
      <c r="B33" s="135"/>
      <c r="C33" s="136"/>
      <c r="D33" s="137"/>
      <c r="E33" s="138">
        <f t="shared" si="38"/>
      </c>
      <c r="F33" s="139"/>
      <c r="G33" s="139"/>
      <c r="H33" s="140">
        <f t="shared" si="39"/>
      </c>
      <c r="I33" s="140">
        <f t="shared" si="40"/>
      </c>
      <c r="J33" s="141"/>
      <c r="K33" s="142"/>
      <c r="L33" s="142"/>
      <c r="M33" s="138">
        <f t="shared" si="41"/>
      </c>
      <c r="N33" s="143">
        <f t="shared" si="42"/>
      </c>
      <c r="O33" s="99"/>
      <c r="P33" s="148">
        <f t="shared" si="43"/>
      </c>
      <c r="Q33" s="138">
        <f t="shared" si="44"/>
      </c>
      <c r="R33" s="149">
        <f t="shared" si="2"/>
        <v>0</v>
      </c>
      <c r="S33" s="150">
        <f>IF(I33="","",IF(OR(X33="Bag",X33="Del Bag"),1,IF(R33=1,VLOOKUP(I33,'BP%'!$C$2:$D$26,2),IF(R33=2,VLOOKUP(I33,'BP%'!$A$2:$B$30,2),))))</f>
      </c>
      <c r="T33" s="151">
        <f t="shared" si="53"/>
      </c>
      <c r="U33" s="77"/>
      <c r="V33" s="77"/>
      <c r="W33" s="182">
        <f t="shared" si="54"/>
      </c>
      <c r="X33" s="169">
        <f t="shared" si="55"/>
      </c>
      <c r="Y33" s="168">
        <f>IF(OR(X33="Bag",X33="Del Bag"),$Y$4,1)</f>
        <v>1</v>
      </c>
      <c r="Z33" s="76">
        <f t="shared" si="46"/>
        <v>0</v>
      </c>
      <c r="AA33" s="76">
        <f t="shared" si="47"/>
        <v>0</v>
      </c>
      <c r="AB33" s="76">
        <f t="shared" si="48"/>
        <v>0</v>
      </c>
      <c r="AC33" s="76">
        <f t="shared" si="49"/>
        <v>0</v>
      </c>
      <c r="AD33" s="108">
        <f>IF(B33=$AG$10,,IF(R33=1,VLOOKUP(I33,'BP%'!$C$2:$D$26,2),IF(R33=2,VLOOKUP(I33,'BP%'!$A$2:$B$30,2),)))</f>
        <v>0</v>
      </c>
      <c r="AE33" s="76">
        <f t="shared" si="50"/>
        <v>0</v>
      </c>
      <c r="AF33" s="157">
        <f t="shared" si="51"/>
        <v>20</v>
      </c>
      <c r="AI33" s="186" t="str">
        <f t="shared" si="52"/>
        <v>Not Bag</v>
      </c>
    </row>
    <row r="34" spans="1:32" s="79" customFormat="1" ht="0.75" customHeight="1">
      <c r="A34" s="86"/>
      <c r="S34" s="109"/>
      <c r="T34" s="153"/>
      <c r="V34" s="77"/>
      <c r="W34" s="77"/>
      <c r="Y34" s="69"/>
      <c r="Z34" s="73"/>
      <c r="AA34" s="73"/>
      <c r="AB34" s="73"/>
      <c r="AC34" s="73"/>
      <c r="AD34" s="108">
        <f>IF(B34=$AG$10,,IF(R34=1,VLOOKUP(I34,'BP%'!$C$2:$D$26,2),IF(R34=2,VLOOKUP(I34,'BP%'!$A$2:$B$30,2),)))</f>
        <v>0</v>
      </c>
      <c r="AE34" s="73"/>
      <c r="AF34" s="157"/>
    </row>
    <row r="35" spans="1:32" s="53" customFormat="1" ht="12" customHeight="1">
      <c r="A35" s="188" t="s">
        <v>32</v>
      </c>
      <c r="B35" s="188"/>
      <c r="C35" s="89">
        <v>8</v>
      </c>
      <c r="D35" s="90">
        <v>21.5</v>
      </c>
      <c r="E35" s="90">
        <f>D35/2</f>
        <v>10.75</v>
      </c>
      <c r="F35" s="90"/>
      <c r="G35" s="90"/>
      <c r="H35" s="87">
        <f>IF(AND(ISNUMBER(D35),ISBLANK(F35),ISBLANK(G35)),PI()*(E35^2),IF(AND(ISBLANK(D35),ISNUMBER(F35),ISNUMBER(G35)),F35*G35,))</f>
        <v>363.05030103047045</v>
      </c>
      <c r="I35" s="87">
        <f>H35/1.244</f>
        <v>291.84107799877046</v>
      </c>
      <c r="J35" s="91" t="s">
        <v>5</v>
      </c>
      <c r="K35" s="90">
        <v>25.8</v>
      </c>
      <c r="L35" s="90">
        <v>5.3</v>
      </c>
      <c r="M35" s="90">
        <f>K35-L35</f>
        <v>20.5</v>
      </c>
      <c r="N35" s="87">
        <f>IF(OR(AE35=500,AE35&gt;500),AC35,D35*0.06)</f>
        <v>1.29</v>
      </c>
      <c r="O35" s="97"/>
      <c r="P35" s="87">
        <f>M35+N35</f>
        <v>21.79</v>
      </c>
      <c r="Q35" s="90">
        <f>I35*P35</f>
        <v>6359.217089593208</v>
      </c>
      <c r="R35" s="92">
        <f>IF(AND(ISNUMBER(D35),ISBLANK(F35),ISBLANK(G35)),1,IF(AND(ISBLANK(D35),ISNUMBER(F35),ISNUMBER(G35)),2,))</f>
        <v>1</v>
      </c>
      <c r="S35" s="110">
        <f>IF(R35=1,VLOOKUP(I35,'BP%'!$C$2:$D$26,2),IF(R35=2,VLOOKUP(I35,'BP%'!$A$2:$B$30,2),))</f>
        <v>1.072</v>
      </c>
      <c r="T35" s="90">
        <f>Q35*(S35)</f>
        <v>6817.080720043919</v>
      </c>
      <c r="U35" s="77"/>
      <c r="V35" s="79"/>
      <c r="W35" s="77"/>
      <c r="X35" s="77"/>
      <c r="Y35" s="77"/>
      <c r="Z35" s="76">
        <f>IF(ISBLANK(O35),(MIN(F35:G35)*0.5)*(TAN(RADIANS(20))),O35)</f>
        <v>0</v>
      </c>
      <c r="AA35" s="76">
        <f>MAX(F35:G35)-(2*(Z35/IF(AF35=0,TAN(RADIANS(20)),TAN(RADIANS(AF35)))))</f>
        <v>0</v>
      </c>
      <c r="AB35" s="76">
        <f t="shared" si="48"/>
        <v>0</v>
      </c>
      <c r="AC35" s="76">
        <f>IF(I35="",,(AB35/1.244)/I35)</f>
        <v>0</v>
      </c>
      <c r="AD35" s="108">
        <f>IF(B35=$AG$10,,IF(R35=1,VLOOKUP(I35,'BP%'!$C$2:$D$26,2),IF(R35=2,VLOOKUP(I35,'BP%'!$A$2:$B$30,2),)))</f>
        <v>1.072</v>
      </c>
      <c r="AE35" s="76">
        <f>IF(I35="",,I35)*AC35*AD35</f>
        <v>0</v>
      </c>
      <c r="AF35" s="157">
        <f>IF(ISBLANK(O35),20,IF(O35=0,,DEGREES(ATAN2(MIN(F35:G35)/2,O35))))</f>
        <v>20</v>
      </c>
    </row>
    <row r="36" spans="1:32" s="53" customFormat="1" ht="12" customHeight="1">
      <c r="A36" s="189" t="s">
        <v>33</v>
      </c>
      <c r="B36" s="189"/>
      <c r="C36" s="93">
        <v>15</v>
      </c>
      <c r="D36" s="94"/>
      <c r="E36" s="94"/>
      <c r="F36" s="94">
        <v>21.5</v>
      </c>
      <c r="G36" s="94">
        <v>21.5</v>
      </c>
      <c r="H36" s="88">
        <f>IF(AND(ISNUMBER(D36),ISBLANK(F36),ISBLANK(G36)),PI()*(E36^2),IF(AND(ISBLANK(D36),ISNUMBER(F36),ISNUMBER(G36)),F36*G36,))</f>
        <v>462.25</v>
      </c>
      <c r="I36" s="88">
        <f>H36/1.244</f>
        <v>371.58360128617363</v>
      </c>
      <c r="J36" s="95" t="s">
        <v>5</v>
      </c>
      <c r="K36" s="94">
        <v>36.5</v>
      </c>
      <c r="L36" s="94">
        <v>6</v>
      </c>
      <c r="M36" s="94">
        <f>K36-L36</f>
        <v>30.5</v>
      </c>
      <c r="N36" s="88">
        <f>IF(OR(AE36=500,AE36&gt;500),AC36,D36*0.06)</f>
        <v>1.3042266727872251</v>
      </c>
      <c r="O36" s="98"/>
      <c r="P36" s="88">
        <f>M36+N36</f>
        <v>31.804226672787227</v>
      </c>
      <c r="Q36" s="94">
        <f>I36*P36</f>
        <v>11817.929083196057</v>
      </c>
      <c r="R36" s="96">
        <f>IF(AND(ISNUMBER(D36),ISBLANK(F36),ISBLANK(G36)),1,IF(AND(ISBLANK(D36),ISNUMBER(F36),ISNUMBER(G36)),2,))</f>
        <v>2</v>
      </c>
      <c r="S36" s="111">
        <f>IF(R36=1,VLOOKUP(I36,'BP%'!$C$2:$D$26,2),IF(R36=2,VLOOKUP(I36,'BP%'!$A$2:$B$30,2),))</f>
        <v>1.078</v>
      </c>
      <c r="T36" s="94">
        <f>Q36*(S36)</f>
        <v>12739.72755168535</v>
      </c>
      <c r="U36" s="77"/>
      <c r="V36" s="77"/>
      <c r="W36" s="77"/>
      <c r="X36" s="77"/>
      <c r="Y36" s="77"/>
      <c r="Z36" s="76">
        <f>IF(ISBLANK(O36),(MIN(F36:G36)*0.5)*(TAN(RADIANS(20))),O36)</f>
        <v>3.9126800183616752</v>
      </c>
      <c r="AA36" s="76">
        <f>MAX(F36:G36)-(2*(Z36/IF(AF36=0,TAN(RADIANS(20)),TAN(RADIANS(AF36)))))</f>
        <v>0</v>
      </c>
      <c r="AB36" s="76">
        <f t="shared" si="48"/>
        <v>602.8787794958948</v>
      </c>
      <c r="AC36" s="76">
        <f>IF(I36="",,(AB36/1.244)/I36)</f>
        <v>1.3042266727872251</v>
      </c>
      <c r="AD36" s="108">
        <f>IF(B36=$AG$10,,IF(R36=1,VLOOKUP(I36,'BP%'!$C$2:$D$26,2),IF(R36=2,VLOOKUP(I36,'BP%'!$A$2:$B$30,2),)))</f>
        <v>1.078</v>
      </c>
      <c r="AE36" s="76">
        <f>IF(I36="",,I36)*AC36*AD36</f>
        <v>522.4303249972465</v>
      </c>
      <c r="AF36" s="157">
        <f>IF(ISBLANK(O36),20,IF(O36=0,,DEGREES(ATAN2(MIN(F36:G36)/2,O36))))</f>
        <v>20</v>
      </c>
    </row>
    <row r="37" spans="5:22" s="72" customFormat="1" ht="12.75">
      <c r="E37" s="72" t="str">
        <f>"("&amp;$D$1&amp;" x .5)"</f>
        <v>(C x .5)</v>
      </c>
      <c r="I37" s="72" t="str">
        <f>"("&amp;$H$1&amp;" / 1.244) x 1"</f>
        <v>(G / 1.244) x 1</v>
      </c>
      <c r="M37" s="72" t="str">
        <f>"("&amp;$K$1&amp;" - "&amp;$L$1&amp;")"</f>
        <v>(J - K)</v>
      </c>
      <c r="P37" s="72" t="str">
        <f>"("&amp;$M$1&amp;" + "&amp;$N$1&amp;")"</f>
        <v>(L + M)</v>
      </c>
      <c r="Q37" s="72" t="str">
        <f>"("&amp;$I$1&amp;" x "&amp;$P$1&amp;")"</f>
        <v>(H x N)</v>
      </c>
      <c r="T37" s="72" t="str">
        <f>$Q$1&amp;" x (1 + "&amp;$S$1&amp;")"</f>
        <v>O x (1 + P)</v>
      </c>
      <c r="V37" s="77"/>
    </row>
    <row r="38" spans="1:22" ht="10.5" customHeight="1">
      <c r="A38" s="214" t="str">
        <f ca="1">IF(ISBLANK(F38),"Printed  "&amp;TEXT(TODAY(),"mmmm d, yyyy"),"")</f>
        <v>Printed  November 15, 2011</v>
      </c>
      <c r="B38" s="214"/>
      <c r="C38" s="214"/>
      <c r="D38" s="214"/>
      <c r="E38" s="214"/>
      <c r="F38" s="215"/>
      <c r="G38" s="215"/>
      <c r="H38" s="215"/>
      <c r="I38" s="215"/>
      <c r="J38" s="215"/>
      <c r="K38" s="215"/>
      <c r="L38" s="215"/>
      <c r="M38" s="215"/>
      <c r="N38" s="215"/>
      <c r="O38" s="215"/>
      <c r="P38" s="215"/>
      <c r="Q38" s="215"/>
      <c r="R38" s="215"/>
      <c r="S38" s="215"/>
      <c r="T38" s="215"/>
      <c r="V38" s="72"/>
    </row>
    <row r="39" spans="1:20" ht="10.5" customHeight="1">
      <c r="A39" s="210" t="s">
        <v>213</v>
      </c>
      <c r="B39" s="213"/>
      <c r="C39" s="213"/>
      <c r="D39" s="213"/>
      <c r="E39" s="211" t="s">
        <v>198</v>
      </c>
      <c r="F39" s="212"/>
      <c r="G39" s="212"/>
      <c r="H39" s="212"/>
      <c r="I39" s="212"/>
      <c r="J39" s="212"/>
      <c r="K39" s="212"/>
      <c r="L39" s="212"/>
      <c r="M39" s="212"/>
      <c r="N39" s="212"/>
      <c r="O39" s="212"/>
      <c r="P39" s="212"/>
      <c r="Q39" s="212"/>
      <c r="R39" s="212"/>
      <c r="S39" s="212"/>
      <c r="T39" s="212"/>
    </row>
    <row r="40" spans="1:31" s="163" customFormat="1" ht="10.5" customHeight="1">
      <c r="A40" s="213"/>
      <c r="B40" s="213"/>
      <c r="C40" s="213"/>
      <c r="D40" s="213"/>
      <c r="E40" s="212"/>
      <c r="F40" s="212"/>
      <c r="G40" s="212"/>
      <c r="H40" s="212"/>
      <c r="I40" s="212"/>
      <c r="J40" s="212"/>
      <c r="K40" s="212"/>
      <c r="L40" s="212"/>
      <c r="M40" s="212"/>
      <c r="N40" s="212"/>
      <c r="O40" s="212"/>
      <c r="P40" s="212"/>
      <c r="Q40" s="212"/>
      <c r="R40" s="212"/>
      <c r="S40" s="212"/>
      <c r="T40" s="212"/>
      <c r="V40" s="47"/>
      <c r="Z40" s="164"/>
      <c r="AA40" s="164"/>
      <c r="AB40" s="164"/>
      <c r="AC40" s="164"/>
      <c r="AD40" s="164"/>
      <c r="AE40" s="164"/>
    </row>
    <row r="41" spans="1:22" ht="11.25">
      <c r="A41" s="210"/>
      <c r="B41" s="210"/>
      <c r="C41" s="210"/>
      <c r="D41" s="210"/>
      <c r="E41" s="210"/>
      <c r="F41" s="210"/>
      <c r="G41" s="210"/>
      <c r="H41" s="210"/>
      <c r="I41" s="210"/>
      <c r="J41" s="210"/>
      <c r="K41" s="210"/>
      <c r="L41" s="210"/>
      <c r="M41" s="210"/>
      <c r="N41" s="210"/>
      <c r="O41" s="210"/>
      <c r="P41" s="210"/>
      <c r="Q41" s="210"/>
      <c r="R41" s="210"/>
      <c r="S41" s="210"/>
      <c r="T41" s="210"/>
      <c r="V41" s="163"/>
    </row>
  </sheetData>
  <sheetProtection password="C6BD" sheet="1"/>
  <mergeCells count="27">
    <mergeCell ref="A41:T41"/>
    <mergeCell ref="E39:T40"/>
    <mergeCell ref="A39:D40"/>
    <mergeCell ref="A38:E38"/>
    <mergeCell ref="F38:T38"/>
    <mergeCell ref="D3:D4"/>
    <mergeCell ref="S4:T4"/>
    <mergeCell ref="K3:L4"/>
    <mergeCell ref="N4:Q4"/>
    <mergeCell ref="J3:J4"/>
    <mergeCell ref="H4:I4"/>
    <mergeCell ref="S15:T15"/>
    <mergeCell ref="S5:T5"/>
    <mergeCell ref="S25:T25"/>
    <mergeCell ref="F5:P5"/>
    <mergeCell ref="F15:P15"/>
    <mergeCell ref="F25:P25"/>
    <mergeCell ref="A35:B35"/>
    <mergeCell ref="A36:B36"/>
    <mergeCell ref="N1:O1"/>
    <mergeCell ref="N2:O2"/>
    <mergeCell ref="A5:E5"/>
    <mergeCell ref="A15:E15"/>
    <mergeCell ref="A25:E25"/>
    <mergeCell ref="F3:G3"/>
    <mergeCell ref="A3:C4"/>
    <mergeCell ref="F4:G4"/>
  </mergeCells>
  <conditionalFormatting sqref="T6:T13">
    <cfRule type="cellIs" priority="3" dxfId="0" operator="equal" stopIfTrue="1">
      <formula>"Use Diameter"</formula>
    </cfRule>
  </conditionalFormatting>
  <conditionalFormatting sqref="T16:T23">
    <cfRule type="cellIs" priority="2" dxfId="0" operator="equal" stopIfTrue="1">
      <formula>"Use Diameter"</formula>
    </cfRule>
  </conditionalFormatting>
  <conditionalFormatting sqref="T26:T33">
    <cfRule type="cellIs" priority="1" dxfId="0" operator="equal" stopIfTrue="1">
      <formula>"Use Diameter"</formula>
    </cfRule>
  </conditionalFormatting>
  <dataValidations count="1">
    <dataValidation type="list" allowBlank="1" showErrorMessage="1" errorTitle="Data Entry Error:" error="Enter only &#10;Add&#10;Delete  or&#10;Adjust&#10;&#10;Choose from the drop-down list." sqref="B26:B33 B16:B23 B6:B13">
      <formula1>$V$5:$V$10</formula1>
    </dataValidation>
  </dataValidations>
  <printOptions horizontalCentered="1"/>
  <pageMargins left="0.4" right="0.4" top="0.78" bottom="0.4" header="0.4" footer="0.4"/>
  <pageSetup horizontalDpi="600" verticalDpi="600" orientation="landscape" r:id="rId3"/>
  <headerFooter alignWithMargins="0">
    <oddHeader>&amp;L&amp;XPrint Warehouse Keeper Name&amp;C&amp;"Arial,Bold"Bushel Capacity Worksheet&amp;R&amp;7Wisconsin Department of Agriculture, Trade and Consumer Protection
Division of Trade and Consumer Protection; Producer Security Section-Grain
P. O. Box 8911; Madison, WI 53708-8911</oddHeader>
  </headerFooter>
  <legacyDrawing r:id="rId2"/>
</worksheet>
</file>

<file path=xl/worksheets/sheet3.xml><?xml version="1.0" encoding="utf-8"?>
<worksheet xmlns="http://schemas.openxmlformats.org/spreadsheetml/2006/main" xmlns:r="http://schemas.openxmlformats.org/officeDocument/2006/relationships">
  <dimension ref="A1:L23"/>
  <sheetViews>
    <sheetView showGridLines="0" showRowColHeaders="0" zoomScalePageLayoutView="0" workbookViewId="0" topLeftCell="A1">
      <selection activeCell="B11" sqref="B11"/>
    </sheetView>
  </sheetViews>
  <sheetFormatPr defaultColWidth="0" defaultRowHeight="12.75" zeroHeight="1"/>
  <cols>
    <col min="1" max="1" width="15.421875" style="47" customWidth="1"/>
    <col min="2" max="2" width="7.8515625" style="47" customWidth="1"/>
    <col min="3" max="3" width="9.140625" style="47" customWidth="1"/>
    <col min="4" max="4" width="4.28125" style="47" bestFit="1" customWidth="1"/>
    <col min="5" max="5" width="31.00390625" style="47" customWidth="1"/>
    <col min="6" max="6" width="5.57421875" style="47" customWidth="1"/>
    <col min="7" max="7" width="4.57421875" style="47" bestFit="1" customWidth="1"/>
    <col min="8" max="8" width="7.28125" style="47" customWidth="1"/>
    <col min="9" max="9" width="5.421875" style="47" bestFit="1" customWidth="1"/>
    <col min="10" max="10" width="1.7109375" style="47" customWidth="1"/>
    <col min="11" max="16384" width="0" style="47" hidden="1" customWidth="1"/>
  </cols>
  <sheetData>
    <row r="1" spans="1:9" ht="11.25">
      <c r="A1" s="228">
        <f>IF(ISERROR(abc!D12),"",abc!D12)</f>
      </c>
      <c r="B1" s="228"/>
      <c r="C1" s="228"/>
      <c r="E1" s="160"/>
      <c r="F1" s="160"/>
      <c r="G1" s="160"/>
      <c r="H1" s="160">
        <f>IF(B11=20,"",IF(ISERROR(abc!D20),"",abc!D20))</f>
      </c>
      <c r="I1" s="160"/>
    </row>
    <row r="2" spans="1:12" ht="11.25">
      <c r="A2" s="59"/>
      <c r="E2" s="48"/>
      <c r="F2" s="49"/>
      <c r="H2" s="161">
        <f>IF(H1="","","If you are calculating capacity")</f>
      </c>
      <c r="L2" s="50"/>
    </row>
    <row r="3" ht="11.25">
      <c r="H3" s="161">
        <f>IF(H1="","","of the Cone/Wedge separately.")</f>
      </c>
    </row>
    <row r="4" ht="11.25"/>
    <row r="5" ht="11.25"/>
    <row r="6" ht="11.25"/>
    <row r="7" ht="11.25"/>
    <row r="8" ht="11.25">
      <c r="J8" s="50"/>
    </row>
    <row r="9" spans="1:10" ht="11.25">
      <c r="A9" s="61">
        <f>abc!B12</f>
        <v>0</v>
      </c>
      <c r="H9" s="48"/>
      <c r="I9" s="48"/>
      <c r="J9" s="50"/>
    </row>
    <row r="10" spans="1:10" ht="12.75">
      <c r="A10" s="233">
        <f>IF(ISNA(abc!E11),"","The Pack Factor is "&amp;FIXED(abc!E11)&amp;".")</f>
      </c>
      <c r="B10" s="234"/>
      <c r="E10" s="58">
        <f>IF(ISERROR(abc!F11),,abc!F11)</f>
        <v>0</v>
      </c>
      <c r="H10" s="48"/>
      <c r="I10" s="48"/>
      <c r="J10" s="50"/>
    </row>
    <row r="11" spans="1:4" ht="9.75" customHeight="1">
      <c r="A11" s="57" t="s">
        <v>149</v>
      </c>
      <c r="B11" s="18"/>
      <c r="C11" s="51">
        <f>IF(abc!C3=0,"",abc!C3)</f>
      </c>
      <c r="D11" s="51">
        <f>abc!D3</f>
      </c>
    </row>
    <row r="12" spans="1:4" ht="9.75" customHeight="1">
      <c r="A12" s="57" t="s">
        <v>144</v>
      </c>
      <c r="B12" s="19"/>
      <c r="C12" s="52"/>
      <c r="D12" s="53"/>
    </row>
    <row r="13" spans="1:4" ht="9.75" customHeight="1">
      <c r="A13" s="57" t="s">
        <v>145</v>
      </c>
      <c r="B13" s="19"/>
      <c r="C13" s="53"/>
      <c r="D13" s="53"/>
    </row>
    <row r="14" spans="1:4" ht="9.75" customHeight="1">
      <c r="A14" s="57" t="s">
        <v>146</v>
      </c>
      <c r="B14" s="19"/>
      <c r="C14" s="53"/>
      <c r="D14" s="53"/>
    </row>
    <row r="15" spans="1:4" ht="9.75" customHeight="1">
      <c r="A15" s="57" t="s">
        <v>147</v>
      </c>
      <c r="B15" s="100"/>
      <c r="C15" s="101">
        <f>IF(abc!C7=0,"",abc!C7)</f>
      </c>
      <c r="D15" s="51">
        <f>abc!D7</f>
      </c>
    </row>
    <row r="16" spans="1:4" ht="9.75" customHeight="1">
      <c r="A16" s="57" t="s">
        <v>148</v>
      </c>
      <c r="B16" s="100"/>
      <c r="C16" s="54">
        <f>IF(abc!C8=1,"",IF(abc!B9=0,abc!B10,abc!B9))</f>
      </c>
      <c r="D16" s="54">
        <f>IF(AND(ISBLANK(B11),ISBLANK(B15)),"",IF(abc!C8=1,"Stated A used for calculation.",IF(abc!C9="",abc!C10,abc!C9&amp;IF(AND(ISBLANK(B15),B16&gt;0)," Enter 'H' to use stated 'A'.",""))))</f>
      </c>
    </row>
    <row r="17" spans="1:5" ht="9.75" customHeight="1">
      <c r="A17" s="229" t="s">
        <v>95</v>
      </c>
      <c r="B17" s="231" t="s">
        <v>82</v>
      </c>
      <c r="C17" s="231"/>
      <c r="D17" s="226" t="s">
        <v>89</v>
      </c>
      <c r="E17" s="227">
        <f>abc!B11</f>
        <v>0</v>
      </c>
    </row>
    <row r="18" spans="1:5" ht="9.75" customHeight="1">
      <c r="A18" s="230"/>
      <c r="B18" s="232">
        <v>6</v>
      </c>
      <c r="C18" s="232"/>
      <c r="D18" s="226"/>
      <c r="E18" s="227"/>
    </row>
    <row r="19" ht="11.25">
      <c r="A19" s="55" t="str">
        <f>IF(OR(abc!A14=1,abc!A14=2),IF(OR(abc!A16=1,abc!A16=2),"",abc!A16),abc!A14)</f>
        <v>You must enter either an Angle of Repose, or an amount for H.</v>
      </c>
    </row>
    <row r="20" ht="11.25">
      <c r="A20" s="55" t="str">
        <f>IF(OR(AND(LEFT(A19,14)="You must enter",OR(ISBLANK(B12),ISBLANK(B13),ISBLANK(B14))),OR(ISBLANK(B12),ISBLANK(B13),ISBLANK(B14))),"You must also enter amounts for B, C and W.","")</f>
        <v>You must also enter amounts for B, C and W.</v>
      </c>
    </row>
    <row r="21" ht="11.25">
      <c r="A21" s="55">
        <f>IF(abc!A26=0,"",abc!A26)</f>
      </c>
    </row>
    <row r="22" ht="11.25">
      <c r="A22" s="55">
        <f>IF(abc!A27=0,"",abc!A27)</f>
      </c>
    </row>
    <row r="23" spans="1:2" ht="11.25">
      <c r="A23" s="55">
        <f>IF(OR(C16="",ISBLANK(B16)),"",IF(B16&lt;C16,"'A' cannot be less than "&amp;TEXT(C16,"#,##0.00'")&amp;" to calculate capacity.",""))</f>
      </c>
      <c r="B23" s="56"/>
    </row>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sheetData>
  <sheetProtection password="C6BD" sheet="1" objects="1" scenarios="1"/>
  <mergeCells count="7">
    <mergeCell ref="D17:D18"/>
    <mergeCell ref="E17:E18"/>
    <mergeCell ref="A1:C1"/>
    <mergeCell ref="A17:A18"/>
    <mergeCell ref="B17:C17"/>
    <mergeCell ref="B18:C18"/>
    <mergeCell ref="A10:B10"/>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J69"/>
  <sheetViews>
    <sheetView showGridLines="0" showRowColHeaders="0" zoomScale="75" zoomScaleNormal="75" zoomScalePageLayoutView="0" workbookViewId="0" topLeftCell="A1">
      <selection activeCell="A1" sqref="A1"/>
    </sheetView>
  </sheetViews>
  <sheetFormatPr defaultColWidth="0" defaultRowHeight="15" customHeight="1"/>
  <cols>
    <col min="1" max="1" width="2.28125" style="26" bestFit="1" customWidth="1"/>
    <col min="2" max="2" width="74.57421875" style="26" customWidth="1"/>
    <col min="3" max="3" width="2.28125" style="26" customWidth="1"/>
    <col min="4" max="4" width="9.140625" style="26" customWidth="1"/>
    <col min="5" max="5" width="10.140625" style="26" customWidth="1"/>
    <col min="6" max="6" width="12.57421875" style="26" customWidth="1"/>
    <col min="7" max="7" width="1.7109375" style="26" customWidth="1"/>
    <col min="8" max="9" width="9.140625" style="26" customWidth="1"/>
    <col min="10" max="10" width="10.140625" style="26" customWidth="1"/>
    <col min="11" max="11" width="1.7109375" style="26" customWidth="1"/>
    <col min="12" max="16384" width="0" style="26" hidden="1" customWidth="1"/>
  </cols>
  <sheetData>
    <row r="1" spans="1:10" ht="15" customHeight="1">
      <c r="A1" s="28" t="s">
        <v>10</v>
      </c>
      <c r="B1" s="31" t="s">
        <v>121</v>
      </c>
      <c r="D1" s="239" t="s">
        <v>175</v>
      </c>
      <c r="E1" s="240"/>
      <c r="F1" s="241"/>
      <c r="H1" s="239" t="s">
        <v>176</v>
      </c>
      <c r="I1" s="240"/>
      <c r="J1" s="241"/>
    </row>
    <row r="2" spans="1:10" ht="15" customHeight="1">
      <c r="A2" s="27"/>
      <c r="B2" s="31" t="s">
        <v>101</v>
      </c>
      <c r="D2" s="242" t="s">
        <v>135</v>
      </c>
      <c r="E2" s="243"/>
      <c r="F2" s="244"/>
      <c r="H2" s="242" t="s">
        <v>134</v>
      </c>
      <c r="I2" s="243"/>
      <c r="J2" s="244"/>
    </row>
    <row r="3" spans="1:10" ht="15" customHeight="1">
      <c r="A3" s="29"/>
      <c r="B3" s="32" t="s">
        <v>122</v>
      </c>
      <c r="D3" s="245" t="s">
        <v>9</v>
      </c>
      <c r="E3" s="246"/>
      <c r="F3" s="102" t="s">
        <v>177</v>
      </c>
      <c r="H3" s="245" t="s">
        <v>9</v>
      </c>
      <c r="I3" s="246"/>
      <c r="J3" s="102" t="s">
        <v>177</v>
      </c>
    </row>
    <row r="4" spans="1:10" ht="15" customHeight="1">
      <c r="A4" s="29"/>
      <c r="B4" s="31" t="s">
        <v>102</v>
      </c>
      <c r="D4" s="247" t="s">
        <v>34</v>
      </c>
      <c r="E4" s="248"/>
      <c r="F4" s="103">
        <v>1.02</v>
      </c>
      <c r="H4" s="247" t="s">
        <v>63</v>
      </c>
      <c r="I4" s="248"/>
      <c r="J4" s="103">
        <v>1.04</v>
      </c>
    </row>
    <row r="5" spans="1:10" ht="15" customHeight="1">
      <c r="A5" s="29"/>
      <c r="B5" s="31" t="s">
        <v>178</v>
      </c>
      <c r="D5" s="235" t="s">
        <v>35</v>
      </c>
      <c r="E5" s="236"/>
      <c r="F5" s="104">
        <v>1.025</v>
      </c>
      <c r="H5" s="235" t="s">
        <v>64</v>
      </c>
      <c r="I5" s="236"/>
      <c r="J5" s="104">
        <v>1.042</v>
      </c>
    </row>
    <row r="6" spans="1:10" ht="15" customHeight="1">
      <c r="A6" s="29"/>
      <c r="B6" s="31" t="s">
        <v>123</v>
      </c>
      <c r="D6" s="235" t="s">
        <v>36</v>
      </c>
      <c r="E6" s="236"/>
      <c r="F6" s="104">
        <v>1.03</v>
      </c>
      <c r="H6" s="235" t="s">
        <v>65</v>
      </c>
      <c r="I6" s="236"/>
      <c r="J6" s="104">
        <v>1.045</v>
      </c>
    </row>
    <row r="7" spans="1:10" ht="15" customHeight="1">
      <c r="A7" s="29"/>
      <c r="B7" s="31"/>
      <c r="D7" s="235" t="s">
        <v>37</v>
      </c>
      <c r="E7" s="236"/>
      <c r="F7" s="104">
        <v>1.035</v>
      </c>
      <c r="H7" s="235" t="s">
        <v>66</v>
      </c>
      <c r="I7" s="236"/>
      <c r="J7" s="104">
        <v>1.048</v>
      </c>
    </row>
    <row r="8" spans="1:10" ht="15" customHeight="1">
      <c r="A8" s="28" t="s">
        <v>11</v>
      </c>
      <c r="B8" s="32" t="s">
        <v>124</v>
      </c>
      <c r="D8" s="235" t="s">
        <v>38</v>
      </c>
      <c r="E8" s="236"/>
      <c r="F8" s="104">
        <v>1.04</v>
      </c>
      <c r="H8" s="235" t="s">
        <v>67</v>
      </c>
      <c r="I8" s="236"/>
      <c r="J8" s="104">
        <v>1.05</v>
      </c>
    </row>
    <row r="9" spans="1:10" ht="15" customHeight="1">
      <c r="A9" s="27"/>
      <c r="B9" s="31" t="s">
        <v>103</v>
      </c>
      <c r="D9" s="235" t="s">
        <v>39</v>
      </c>
      <c r="E9" s="236"/>
      <c r="F9" s="104">
        <v>1.042</v>
      </c>
      <c r="H9" s="235" t="s">
        <v>68</v>
      </c>
      <c r="I9" s="236"/>
      <c r="J9" s="104">
        <v>1.052</v>
      </c>
    </row>
    <row r="10" spans="1:10" ht="15" customHeight="1">
      <c r="A10" s="29"/>
      <c r="B10" s="31" t="s">
        <v>104</v>
      </c>
      <c r="D10" s="235" t="s">
        <v>40</v>
      </c>
      <c r="E10" s="236"/>
      <c r="F10" s="104">
        <v>1.045</v>
      </c>
      <c r="H10" s="235" t="s">
        <v>69</v>
      </c>
      <c r="I10" s="236"/>
      <c r="J10" s="104">
        <v>1.055</v>
      </c>
    </row>
    <row r="11" spans="1:10" ht="15" customHeight="1">
      <c r="A11" s="29"/>
      <c r="B11" s="31" t="s">
        <v>105</v>
      </c>
      <c r="D11" s="235" t="s">
        <v>41</v>
      </c>
      <c r="E11" s="236"/>
      <c r="F11" s="104">
        <v>1.048</v>
      </c>
      <c r="H11" s="235" t="s">
        <v>70</v>
      </c>
      <c r="I11" s="236"/>
      <c r="J11" s="104">
        <v>1.058</v>
      </c>
    </row>
    <row r="12" spans="1:10" ht="15" customHeight="1">
      <c r="A12" s="29"/>
      <c r="B12" s="31"/>
      <c r="D12" s="235" t="s">
        <v>42</v>
      </c>
      <c r="E12" s="236"/>
      <c r="F12" s="104">
        <v>1.05</v>
      </c>
      <c r="H12" s="235" t="s">
        <v>71</v>
      </c>
      <c r="I12" s="236"/>
      <c r="J12" s="104">
        <v>1.06</v>
      </c>
    </row>
    <row r="13" spans="1:10" ht="15" customHeight="1">
      <c r="A13" s="28" t="s">
        <v>12</v>
      </c>
      <c r="B13" s="32" t="s">
        <v>125</v>
      </c>
      <c r="D13" s="235" t="s">
        <v>43</v>
      </c>
      <c r="E13" s="236"/>
      <c r="F13" s="104">
        <v>1.052</v>
      </c>
      <c r="H13" s="235" t="s">
        <v>72</v>
      </c>
      <c r="I13" s="236"/>
      <c r="J13" s="104">
        <v>1.062</v>
      </c>
    </row>
    <row r="14" spans="1:10" ht="15" customHeight="1">
      <c r="A14" s="27"/>
      <c r="B14" s="31" t="s">
        <v>151</v>
      </c>
      <c r="D14" s="235" t="s">
        <v>44</v>
      </c>
      <c r="E14" s="236"/>
      <c r="F14" s="104">
        <v>1.055</v>
      </c>
      <c r="H14" s="235" t="s">
        <v>73</v>
      </c>
      <c r="I14" s="236"/>
      <c r="J14" s="104">
        <v>1.065</v>
      </c>
    </row>
    <row r="15" spans="1:10" ht="15" customHeight="1">
      <c r="A15" s="29"/>
      <c r="B15" s="31" t="s">
        <v>150</v>
      </c>
      <c r="D15" s="235" t="s">
        <v>45</v>
      </c>
      <c r="E15" s="236"/>
      <c r="F15" s="104">
        <v>1.058</v>
      </c>
      <c r="H15" s="235" t="s">
        <v>74</v>
      </c>
      <c r="I15" s="236"/>
      <c r="J15" s="104">
        <v>1.068</v>
      </c>
    </row>
    <row r="16" spans="1:10" ht="15" customHeight="1">
      <c r="A16" s="29"/>
      <c r="B16" s="31" t="s">
        <v>153</v>
      </c>
      <c r="D16" s="235" t="s">
        <v>46</v>
      </c>
      <c r="E16" s="236"/>
      <c r="F16" s="104">
        <v>1.06</v>
      </c>
      <c r="H16" s="235" t="s">
        <v>75</v>
      </c>
      <c r="I16" s="236"/>
      <c r="J16" s="104">
        <v>1.07</v>
      </c>
    </row>
    <row r="17" spans="1:10" ht="15" customHeight="1">
      <c r="A17" s="29"/>
      <c r="B17" s="31"/>
      <c r="D17" s="235" t="s">
        <v>47</v>
      </c>
      <c r="E17" s="236"/>
      <c r="F17" s="104">
        <v>1.062</v>
      </c>
      <c r="H17" s="235" t="s">
        <v>51</v>
      </c>
      <c r="I17" s="236"/>
      <c r="J17" s="104">
        <v>1.072</v>
      </c>
    </row>
    <row r="18" spans="1:10" ht="15" customHeight="1">
      <c r="A18" s="28" t="s">
        <v>13</v>
      </c>
      <c r="B18" s="32" t="s">
        <v>126</v>
      </c>
      <c r="D18" s="235" t="s">
        <v>48</v>
      </c>
      <c r="E18" s="236"/>
      <c r="F18" s="104">
        <v>1.065</v>
      </c>
      <c r="H18" s="235" t="s">
        <v>52</v>
      </c>
      <c r="I18" s="236"/>
      <c r="J18" s="104">
        <v>1.075</v>
      </c>
    </row>
    <row r="19" spans="1:10" ht="15" customHeight="1">
      <c r="A19" s="29"/>
      <c r="B19" s="31" t="s">
        <v>152</v>
      </c>
      <c r="D19" s="235" t="s">
        <v>49</v>
      </c>
      <c r="E19" s="236"/>
      <c r="F19" s="104">
        <v>1.068</v>
      </c>
      <c r="H19" s="235" t="s">
        <v>53</v>
      </c>
      <c r="I19" s="236"/>
      <c r="J19" s="104">
        <v>1.078</v>
      </c>
    </row>
    <row r="20" spans="1:10" ht="15" customHeight="1">
      <c r="A20" s="29"/>
      <c r="B20" s="32"/>
      <c r="D20" s="235" t="s">
        <v>50</v>
      </c>
      <c r="E20" s="236"/>
      <c r="F20" s="104">
        <v>1.07</v>
      </c>
      <c r="H20" s="235" t="s">
        <v>54</v>
      </c>
      <c r="I20" s="236"/>
      <c r="J20" s="104">
        <v>1.08</v>
      </c>
    </row>
    <row r="21" spans="1:10" ht="15" customHeight="1">
      <c r="A21" s="28" t="s">
        <v>14</v>
      </c>
      <c r="B21" s="32" t="s">
        <v>154</v>
      </c>
      <c r="D21" s="235" t="s">
        <v>51</v>
      </c>
      <c r="E21" s="236"/>
      <c r="F21" s="104">
        <v>1.072</v>
      </c>
      <c r="H21" s="235" t="s">
        <v>55</v>
      </c>
      <c r="I21" s="236"/>
      <c r="J21" s="104">
        <v>1.082</v>
      </c>
    </row>
    <row r="22" spans="1:10" ht="15" customHeight="1">
      <c r="A22" s="27"/>
      <c r="B22" s="31" t="s">
        <v>106</v>
      </c>
      <c r="D22" s="235" t="s">
        <v>52</v>
      </c>
      <c r="E22" s="236"/>
      <c r="F22" s="104">
        <v>1.075</v>
      </c>
      <c r="H22" s="235" t="s">
        <v>56</v>
      </c>
      <c r="I22" s="236"/>
      <c r="J22" s="104">
        <v>1.085</v>
      </c>
    </row>
    <row r="23" spans="1:10" ht="15" customHeight="1">
      <c r="A23" s="29"/>
      <c r="B23" s="31" t="s">
        <v>107</v>
      </c>
      <c r="D23" s="235" t="s">
        <v>53</v>
      </c>
      <c r="E23" s="236"/>
      <c r="F23" s="104">
        <v>1.078</v>
      </c>
      <c r="H23" s="235" t="s">
        <v>57</v>
      </c>
      <c r="I23" s="236"/>
      <c r="J23" s="104">
        <v>1.088</v>
      </c>
    </row>
    <row r="24" spans="1:10" ht="15" customHeight="1">
      <c r="A24" s="29"/>
      <c r="B24" s="31" t="s">
        <v>108</v>
      </c>
      <c r="D24" s="235" t="s">
        <v>54</v>
      </c>
      <c r="E24" s="236"/>
      <c r="F24" s="104">
        <v>1.08</v>
      </c>
      <c r="H24" s="235" t="s">
        <v>58</v>
      </c>
      <c r="I24" s="236"/>
      <c r="J24" s="104">
        <v>1.09</v>
      </c>
    </row>
    <row r="25" spans="1:10" ht="15" customHeight="1">
      <c r="A25" s="29"/>
      <c r="B25" s="31"/>
      <c r="D25" s="235" t="s">
        <v>55</v>
      </c>
      <c r="E25" s="236"/>
      <c r="F25" s="104">
        <v>1.082</v>
      </c>
      <c r="H25" s="235" t="s">
        <v>59</v>
      </c>
      <c r="I25" s="236"/>
      <c r="J25" s="104">
        <v>1.092</v>
      </c>
    </row>
    <row r="26" spans="1:10" ht="15" customHeight="1">
      <c r="A26" s="28" t="s">
        <v>15</v>
      </c>
      <c r="B26" s="32" t="s">
        <v>155</v>
      </c>
      <c r="D26" s="235" t="s">
        <v>56</v>
      </c>
      <c r="E26" s="236"/>
      <c r="F26" s="104">
        <v>1.085</v>
      </c>
      <c r="H26" s="235" t="s">
        <v>76</v>
      </c>
      <c r="I26" s="236"/>
      <c r="J26" s="104">
        <v>1.095</v>
      </c>
    </row>
    <row r="27" spans="1:10" ht="15" customHeight="1">
      <c r="A27" s="29"/>
      <c r="B27" s="32"/>
      <c r="D27" s="235" t="s">
        <v>57</v>
      </c>
      <c r="E27" s="236"/>
      <c r="F27" s="104">
        <v>1.088</v>
      </c>
      <c r="H27" s="235" t="s">
        <v>77</v>
      </c>
      <c r="I27" s="236"/>
      <c r="J27" s="104">
        <v>1.098</v>
      </c>
    </row>
    <row r="28" spans="1:10" ht="15" customHeight="1">
      <c r="A28" s="28" t="s">
        <v>16</v>
      </c>
      <c r="B28" s="32" t="s">
        <v>156</v>
      </c>
      <c r="D28" s="235" t="s">
        <v>58</v>
      </c>
      <c r="E28" s="236"/>
      <c r="F28" s="104">
        <v>1.09</v>
      </c>
      <c r="H28" s="237" t="s">
        <v>62</v>
      </c>
      <c r="I28" s="238"/>
      <c r="J28" s="105">
        <v>1.1</v>
      </c>
    </row>
    <row r="29" spans="1:6" ht="15" customHeight="1">
      <c r="A29" s="27"/>
      <c r="B29" s="31" t="s">
        <v>157</v>
      </c>
      <c r="D29" s="235" t="s">
        <v>59</v>
      </c>
      <c r="E29" s="236"/>
      <c r="F29" s="104">
        <v>1.092</v>
      </c>
    </row>
    <row r="30" spans="2:6" ht="15" customHeight="1">
      <c r="B30" s="31" t="s">
        <v>127</v>
      </c>
      <c r="D30" s="235" t="s">
        <v>60</v>
      </c>
      <c r="E30" s="236"/>
      <c r="F30" s="104">
        <v>1.095</v>
      </c>
    </row>
    <row r="31" spans="2:7" ht="15" customHeight="1">
      <c r="B31" s="31"/>
      <c r="D31" s="235" t="s">
        <v>61</v>
      </c>
      <c r="E31" s="236"/>
      <c r="F31" s="104">
        <v>1.098</v>
      </c>
      <c r="G31" s="30"/>
    </row>
    <row r="32" spans="1:8" ht="15" customHeight="1">
      <c r="A32" s="28" t="s">
        <v>17</v>
      </c>
      <c r="B32" s="32" t="s">
        <v>158</v>
      </c>
      <c r="D32" s="237" t="s">
        <v>62</v>
      </c>
      <c r="E32" s="238"/>
      <c r="F32" s="105">
        <v>1.1</v>
      </c>
      <c r="H32" s="26" t="s">
        <v>78</v>
      </c>
    </row>
    <row r="33" spans="1:2" ht="15" customHeight="1">
      <c r="A33" s="27"/>
      <c r="B33" s="31" t="s">
        <v>174</v>
      </c>
    </row>
    <row r="34" spans="1:6" ht="15" customHeight="1">
      <c r="A34" s="27"/>
      <c r="B34" s="31" t="s">
        <v>159</v>
      </c>
      <c r="D34" s="258" t="s">
        <v>183</v>
      </c>
      <c r="E34" s="259"/>
      <c r="F34" s="259"/>
    </row>
    <row r="35" ht="15" customHeight="1">
      <c r="B35" s="31" t="s">
        <v>160</v>
      </c>
    </row>
    <row r="36" spans="2:4" ht="15" customHeight="1">
      <c r="B36" s="31"/>
      <c r="D36" s="35" t="s">
        <v>142</v>
      </c>
    </row>
    <row r="37" spans="1:4" ht="15" customHeight="1">
      <c r="A37" s="28" t="s">
        <v>18</v>
      </c>
      <c r="B37" s="32" t="s">
        <v>128</v>
      </c>
      <c r="D37" s="35" t="s">
        <v>143</v>
      </c>
    </row>
    <row r="38" spans="1:2" ht="15" customHeight="1">
      <c r="A38" s="27"/>
      <c r="B38" s="31" t="s">
        <v>109</v>
      </c>
    </row>
    <row r="39" spans="1:2" ht="15" customHeight="1">
      <c r="A39" s="27"/>
      <c r="B39" s="31" t="s">
        <v>139</v>
      </c>
    </row>
    <row r="40" ht="15" customHeight="1">
      <c r="B40" s="31" t="s">
        <v>140</v>
      </c>
    </row>
    <row r="41" ht="15" customHeight="1">
      <c r="B41" s="31" t="s">
        <v>110</v>
      </c>
    </row>
    <row r="42" ht="15" customHeight="1">
      <c r="B42" s="31"/>
    </row>
    <row r="43" spans="1:2" ht="15" customHeight="1">
      <c r="A43" s="28" t="s">
        <v>19</v>
      </c>
      <c r="B43" s="32" t="s">
        <v>129</v>
      </c>
    </row>
    <row r="44" spans="1:2" ht="15" customHeight="1">
      <c r="A44" s="27"/>
      <c r="B44" s="31" t="s">
        <v>111</v>
      </c>
    </row>
    <row r="45" ht="15" customHeight="1">
      <c r="B45" s="31" t="s">
        <v>153</v>
      </c>
    </row>
    <row r="46" ht="15" customHeight="1">
      <c r="B46" s="31"/>
    </row>
    <row r="47" spans="1:2" ht="15" customHeight="1">
      <c r="A47" s="28" t="s">
        <v>20</v>
      </c>
      <c r="B47" s="32" t="s">
        <v>130</v>
      </c>
    </row>
    <row r="48" spans="1:2" ht="15" customHeight="1">
      <c r="A48" s="27"/>
      <c r="B48" s="31" t="s">
        <v>112</v>
      </c>
    </row>
    <row r="49" spans="1:2" ht="15" customHeight="1">
      <c r="A49" s="27"/>
      <c r="B49" s="31" t="s">
        <v>113</v>
      </c>
    </row>
    <row r="50" spans="1:2" ht="15" customHeight="1">
      <c r="A50" s="27"/>
      <c r="B50" s="31" t="s">
        <v>114</v>
      </c>
    </row>
    <row r="51" ht="15" customHeight="1">
      <c r="B51" s="31" t="s">
        <v>115</v>
      </c>
    </row>
    <row r="52" ht="15" customHeight="1">
      <c r="B52" s="31" t="s">
        <v>116</v>
      </c>
    </row>
    <row r="53" ht="15" customHeight="1">
      <c r="B53" s="31" t="s">
        <v>161</v>
      </c>
    </row>
    <row r="54" spans="2:9" ht="15" customHeight="1">
      <c r="B54" s="31"/>
      <c r="D54" s="36"/>
      <c r="E54" s="46"/>
      <c r="F54" s="42"/>
      <c r="G54" s="42"/>
      <c r="H54" s="43"/>
      <c r="I54" s="44"/>
    </row>
    <row r="55" spans="1:9" ht="15" customHeight="1">
      <c r="A55" s="28" t="s">
        <v>21</v>
      </c>
      <c r="B55" s="32" t="s">
        <v>131</v>
      </c>
      <c r="D55" s="39"/>
      <c r="E55" s="45"/>
      <c r="F55" s="45"/>
      <c r="G55" s="45"/>
      <c r="H55" s="43"/>
      <c r="I55" s="44"/>
    </row>
    <row r="56" spans="2:8" ht="15" customHeight="1">
      <c r="B56" s="31" t="s">
        <v>162</v>
      </c>
      <c r="D56" s="41"/>
      <c r="E56" s="37"/>
      <c r="F56" s="37"/>
      <c r="G56" s="25"/>
      <c r="H56" s="38"/>
    </row>
    <row r="57" spans="2:8" ht="15" customHeight="1">
      <c r="B57" s="31"/>
      <c r="D57" s="40"/>
      <c r="E57" s="40"/>
      <c r="F57" s="40"/>
      <c r="G57" s="25"/>
      <c r="H57" s="38"/>
    </row>
    <row r="58" spans="1:7" ht="15" customHeight="1">
      <c r="A58" s="28" t="s">
        <v>22</v>
      </c>
      <c r="B58" s="33" t="s">
        <v>132</v>
      </c>
      <c r="G58" s="30"/>
    </row>
    <row r="59" spans="1:9" ht="15" customHeight="1">
      <c r="A59" s="27"/>
      <c r="B59" s="34" t="s">
        <v>117</v>
      </c>
      <c r="D59" s="249" t="s">
        <v>22</v>
      </c>
      <c r="E59" s="250" t="s">
        <v>137</v>
      </c>
      <c r="F59" s="252" t="s">
        <v>82</v>
      </c>
      <c r="G59" s="252"/>
      <c r="H59" s="253"/>
      <c r="I59" s="254" t="s">
        <v>136</v>
      </c>
    </row>
    <row r="60" spans="2:9" ht="15" customHeight="1">
      <c r="B60" s="31" t="s">
        <v>118</v>
      </c>
      <c r="D60" s="249"/>
      <c r="E60" s="251"/>
      <c r="F60" s="256">
        <v>6</v>
      </c>
      <c r="G60" s="256"/>
      <c r="H60" s="257"/>
      <c r="I60" s="255"/>
    </row>
    <row r="61" ht="15" customHeight="1">
      <c r="B61" s="31" t="s">
        <v>119</v>
      </c>
    </row>
    <row r="62" ht="15" customHeight="1">
      <c r="B62" s="31" t="s">
        <v>120</v>
      </c>
    </row>
    <row r="63" spans="2:4" ht="15" customHeight="1">
      <c r="B63" s="31" t="s">
        <v>169</v>
      </c>
      <c r="C63" s="28" t="s">
        <v>28</v>
      </c>
      <c r="D63" s="32" t="s">
        <v>179</v>
      </c>
    </row>
    <row r="64" spans="2:4" ht="15" customHeight="1">
      <c r="B64" s="31" t="s">
        <v>170</v>
      </c>
      <c r="D64" s="31" t="s">
        <v>138</v>
      </c>
    </row>
    <row r="65" spans="2:4" ht="15" customHeight="1">
      <c r="B65" s="31" t="s">
        <v>133</v>
      </c>
      <c r="D65" s="31"/>
    </row>
    <row r="66" spans="2:4" ht="15" customHeight="1">
      <c r="B66" s="31" t="s">
        <v>163</v>
      </c>
      <c r="C66" s="28" t="s">
        <v>29</v>
      </c>
      <c r="D66" s="32" t="s">
        <v>180</v>
      </c>
    </row>
    <row r="67" spans="1:4" ht="15" customHeight="1">
      <c r="A67" s="28" t="s">
        <v>24</v>
      </c>
      <c r="B67" s="32" t="s">
        <v>164</v>
      </c>
      <c r="D67" s="31" t="s">
        <v>181</v>
      </c>
    </row>
    <row r="68" spans="1:2" ht="15" customHeight="1">
      <c r="A68" s="28" t="s">
        <v>27</v>
      </c>
      <c r="B68" s="32" t="s">
        <v>165</v>
      </c>
    </row>
    <row r="69" ht="15" customHeight="1">
      <c r="B69" s="32"/>
    </row>
  </sheetData>
  <sheetProtection password="C6BD" sheet="1" objects="1" scenarios="1"/>
  <mergeCells count="66">
    <mergeCell ref="D34:F34"/>
    <mergeCell ref="D32:E32"/>
    <mergeCell ref="D28:E28"/>
    <mergeCell ref="D29:E29"/>
    <mergeCell ref="D30:E30"/>
    <mergeCell ref="D31:E31"/>
    <mergeCell ref="D24:E24"/>
    <mergeCell ref="D25:E25"/>
    <mergeCell ref="D26:E26"/>
    <mergeCell ref="D27:E27"/>
    <mergeCell ref="D20:E20"/>
    <mergeCell ref="D21:E21"/>
    <mergeCell ref="D22:E22"/>
    <mergeCell ref="D23:E23"/>
    <mergeCell ref="D16:E16"/>
    <mergeCell ref="D17:E17"/>
    <mergeCell ref="D18:E18"/>
    <mergeCell ref="D19:E19"/>
    <mergeCell ref="I59:I60"/>
    <mergeCell ref="F60:H60"/>
    <mergeCell ref="H21:I21"/>
    <mergeCell ref="H22:I22"/>
    <mergeCell ref="H23:I23"/>
    <mergeCell ref="H24:I24"/>
    <mergeCell ref="D1:F1"/>
    <mergeCell ref="D3:E3"/>
    <mergeCell ref="D4:E4"/>
    <mergeCell ref="D5:E5"/>
    <mergeCell ref="D6:E6"/>
    <mergeCell ref="D7:E7"/>
    <mergeCell ref="D8:E8"/>
    <mergeCell ref="D9:E9"/>
    <mergeCell ref="D2:F2"/>
    <mergeCell ref="D59:D60"/>
    <mergeCell ref="E59:E60"/>
    <mergeCell ref="F59:H59"/>
    <mergeCell ref="D10:E10"/>
    <mergeCell ref="D11:E11"/>
    <mergeCell ref="D12:E12"/>
    <mergeCell ref="D13:E13"/>
    <mergeCell ref="D14:E14"/>
    <mergeCell ref="D15:E15"/>
    <mergeCell ref="H1:J1"/>
    <mergeCell ref="H2:J2"/>
    <mergeCell ref="H3:I3"/>
    <mergeCell ref="H4:I4"/>
    <mergeCell ref="H5:I5"/>
    <mergeCell ref="H6:I6"/>
    <mergeCell ref="H7:I7"/>
    <mergeCell ref="H8:I8"/>
    <mergeCell ref="H9:I9"/>
    <mergeCell ref="H10:I10"/>
    <mergeCell ref="H11:I11"/>
    <mergeCell ref="H12:I12"/>
    <mergeCell ref="H13:I13"/>
    <mergeCell ref="H14:I14"/>
    <mergeCell ref="H25:I25"/>
    <mergeCell ref="H26:I26"/>
    <mergeCell ref="H27:I27"/>
    <mergeCell ref="H28:I28"/>
    <mergeCell ref="H15:I15"/>
    <mergeCell ref="H16:I16"/>
    <mergeCell ref="H17:I17"/>
    <mergeCell ref="H18:I18"/>
    <mergeCell ref="H19:I19"/>
    <mergeCell ref="H20:I20"/>
  </mergeCells>
  <printOptions/>
  <pageMargins left="0.5" right="0.5" top="0.75" bottom="0.75" header="0.5" footer="0.5"/>
  <pageSetup horizontalDpi="600" verticalDpi="600" orientation="portrait" scale="65" r:id="rId2"/>
  <headerFooter alignWithMargins="0">
    <oddHeader>&amp;C&amp;14Instructions - Worksheet for Bushel Capacity</oddHeader>
    <oddFooter>&amp;L&amp;9TR-GR-2 Reverse</oddFooter>
  </headerFooter>
  <drawing r:id="rId1"/>
</worksheet>
</file>

<file path=xl/worksheets/sheet5.xml><?xml version="1.0" encoding="utf-8"?>
<worksheet xmlns="http://schemas.openxmlformats.org/spreadsheetml/2006/main" xmlns:r="http://schemas.openxmlformats.org/officeDocument/2006/relationships">
  <dimension ref="A1:D30"/>
  <sheetViews>
    <sheetView showGridLines="0" zoomScalePageLayoutView="0" workbookViewId="0" topLeftCell="A1">
      <pane ySplit="1" topLeftCell="A2" activePane="bottomLeft" state="frozen"/>
      <selection pane="topLeft" activeCell="A1" sqref="A1"/>
      <selection pane="bottomLeft" activeCell="A1" sqref="A1:B1"/>
    </sheetView>
  </sheetViews>
  <sheetFormatPr defaultColWidth="9.140625" defaultRowHeight="12.75"/>
  <cols>
    <col min="1" max="1" width="9.140625" style="2" bestFit="1" customWidth="1"/>
    <col min="2" max="2" width="8.7109375" style="4" customWidth="1"/>
    <col min="3" max="3" width="9.140625" style="2" bestFit="1" customWidth="1"/>
    <col min="4" max="4" width="6.7109375" style="4" customWidth="1"/>
    <col min="5" max="16384" width="9.140625" style="1" customWidth="1"/>
  </cols>
  <sheetData>
    <row r="1" spans="1:4" ht="11.25">
      <c r="A1" s="260" t="s">
        <v>30</v>
      </c>
      <c r="B1" s="260"/>
      <c r="C1" s="261" t="s">
        <v>31</v>
      </c>
      <c r="D1" s="261"/>
    </row>
    <row r="2" spans="1:4" ht="11.25">
      <c r="A2" s="115">
        <v>1E-06</v>
      </c>
      <c r="B2" s="106">
        <v>1.02</v>
      </c>
      <c r="C2" s="116">
        <v>1E-06</v>
      </c>
      <c r="D2" s="107">
        <v>1.04</v>
      </c>
    </row>
    <row r="3" spans="1:4" ht="11.25">
      <c r="A3" s="115">
        <v>24.000001</v>
      </c>
      <c r="B3" s="106">
        <v>1.025</v>
      </c>
      <c r="C3" s="116">
        <v>15.000001</v>
      </c>
      <c r="D3" s="107">
        <v>1.042</v>
      </c>
    </row>
    <row r="4" spans="1:4" ht="11.25">
      <c r="A4" s="115">
        <v>34.000001</v>
      </c>
      <c r="B4" s="106">
        <v>1.03</v>
      </c>
      <c r="C4" s="116">
        <v>30.000001</v>
      </c>
      <c r="D4" s="107">
        <v>1.045</v>
      </c>
    </row>
    <row r="5" spans="1:4" ht="11.25">
      <c r="A5" s="115">
        <v>41.000001</v>
      </c>
      <c r="B5" s="106">
        <v>1.035</v>
      </c>
      <c r="C5" s="116">
        <v>45.000001</v>
      </c>
      <c r="D5" s="107">
        <v>1.048</v>
      </c>
    </row>
    <row r="6" spans="1:4" ht="11.25">
      <c r="A6" s="115">
        <v>45.000001</v>
      </c>
      <c r="B6" s="106">
        <v>1.04</v>
      </c>
      <c r="C6" s="116">
        <v>75.000001</v>
      </c>
      <c r="D6" s="107">
        <v>1.05</v>
      </c>
    </row>
    <row r="7" spans="1:4" ht="11.25">
      <c r="A7" s="115">
        <v>48.000001</v>
      </c>
      <c r="B7" s="106">
        <v>1.042</v>
      </c>
      <c r="C7" s="116">
        <v>103.500001</v>
      </c>
      <c r="D7" s="107">
        <v>1.052</v>
      </c>
    </row>
    <row r="8" spans="1:4" ht="11.25">
      <c r="A8" s="115">
        <v>50.000001</v>
      </c>
      <c r="B8" s="106">
        <v>1.045</v>
      </c>
      <c r="C8" s="116">
        <v>123.500001</v>
      </c>
      <c r="D8" s="107">
        <v>1.055</v>
      </c>
    </row>
    <row r="9" spans="1:4" ht="11.25">
      <c r="A9" s="115">
        <v>55.000001</v>
      </c>
      <c r="B9" s="106">
        <v>1.048</v>
      </c>
      <c r="C9" s="116">
        <v>157.500001</v>
      </c>
      <c r="D9" s="107">
        <v>1.058</v>
      </c>
    </row>
    <row r="10" spans="1:4" ht="11.25">
      <c r="A10" s="115">
        <v>62.000001</v>
      </c>
      <c r="B10" s="106">
        <v>1.05</v>
      </c>
      <c r="C10" s="116">
        <v>189.000001</v>
      </c>
      <c r="D10" s="107">
        <v>1.06</v>
      </c>
    </row>
    <row r="11" spans="1:4" ht="11.25">
      <c r="A11" s="115">
        <v>67.000001</v>
      </c>
      <c r="B11" s="106">
        <v>1.052</v>
      </c>
      <c r="C11" s="116">
        <v>211.500001</v>
      </c>
      <c r="D11" s="107">
        <v>1.062</v>
      </c>
    </row>
    <row r="12" spans="1:4" ht="11.25">
      <c r="A12" s="115">
        <v>73.000001</v>
      </c>
      <c r="B12" s="106">
        <v>1.055</v>
      </c>
      <c r="C12" s="116">
        <v>228.000001</v>
      </c>
      <c r="D12" s="107">
        <v>1.065</v>
      </c>
    </row>
    <row r="13" spans="1:4" ht="11.25">
      <c r="A13" s="115">
        <v>83.000001</v>
      </c>
      <c r="B13" s="106">
        <v>1.058</v>
      </c>
      <c r="C13" s="116">
        <v>252.500001</v>
      </c>
      <c r="D13" s="107">
        <v>1.068</v>
      </c>
    </row>
    <row r="14" spans="1:4" ht="11.25">
      <c r="A14" s="115">
        <v>94.000001</v>
      </c>
      <c r="B14" s="106">
        <v>1.06</v>
      </c>
      <c r="C14" s="116">
        <v>278.500001</v>
      </c>
      <c r="D14" s="107">
        <v>1.07</v>
      </c>
    </row>
    <row r="15" spans="1:4" ht="11.25">
      <c r="A15" s="115">
        <v>105.000001</v>
      </c>
      <c r="B15" s="106">
        <v>1.062</v>
      </c>
      <c r="C15" s="116">
        <v>289.000001</v>
      </c>
      <c r="D15" s="107">
        <v>1.072</v>
      </c>
    </row>
    <row r="16" spans="1:4" ht="11.25">
      <c r="A16" s="115">
        <v>120.000001</v>
      </c>
      <c r="B16" s="106">
        <v>1.065</v>
      </c>
      <c r="C16" s="116">
        <v>317.000001</v>
      </c>
      <c r="D16" s="107">
        <v>1.075</v>
      </c>
    </row>
    <row r="17" spans="1:4" ht="11.25">
      <c r="A17" s="115">
        <v>139.000001</v>
      </c>
      <c r="B17" s="106">
        <v>1.068</v>
      </c>
      <c r="C17" s="116">
        <v>351.500001</v>
      </c>
      <c r="D17" s="107">
        <v>1.078</v>
      </c>
    </row>
    <row r="18" spans="1:4" ht="11.25">
      <c r="A18" s="115">
        <v>157.000001</v>
      </c>
      <c r="B18" s="106">
        <v>1.07</v>
      </c>
      <c r="C18" s="116">
        <v>382.000001</v>
      </c>
      <c r="D18" s="107">
        <v>1.08</v>
      </c>
    </row>
    <row r="19" spans="1:4" ht="11.25">
      <c r="A19" s="115">
        <v>289.000001</v>
      </c>
      <c r="B19" s="106">
        <v>1.072</v>
      </c>
      <c r="C19" s="116">
        <v>410.500001</v>
      </c>
      <c r="D19" s="107">
        <v>1.082</v>
      </c>
    </row>
    <row r="20" spans="1:4" ht="11.25">
      <c r="A20" s="115">
        <v>317.000001</v>
      </c>
      <c r="B20" s="106">
        <v>1.075</v>
      </c>
      <c r="C20" s="116">
        <v>453.500001</v>
      </c>
      <c r="D20" s="107">
        <v>1.085</v>
      </c>
    </row>
    <row r="21" spans="1:4" ht="11.25">
      <c r="A21" s="115">
        <v>351.500001</v>
      </c>
      <c r="B21" s="106">
        <v>1.078</v>
      </c>
      <c r="C21" s="116">
        <v>505.500001</v>
      </c>
      <c r="D21" s="107">
        <v>1.088</v>
      </c>
    </row>
    <row r="22" spans="1:4" ht="11.25">
      <c r="A22" s="115">
        <v>382.000001</v>
      </c>
      <c r="B22" s="106">
        <v>1.08</v>
      </c>
      <c r="C22" s="116">
        <v>547.500001</v>
      </c>
      <c r="D22" s="107">
        <v>1.09</v>
      </c>
    </row>
    <row r="23" spans="1:4" ht="11.25">
      <c r="A23" s="115">
        <v>410.500001</v>
      </c>
      <c r="B23" s="106">
        <v>1.082</v>
      </c>
      <c r="C23" s="116">
        <v>587.500001</v>
      </c>
      <c r="D23" s="107">
        <v>1.092</v>
      </c>
    </row>
    <row r="24" spans="1:4" ht="11.25">
      <c r="A24" s="115">
        <v>453.500001</v>
      </c>
      <c r="B24" s="106">
        <v>1.085</v>
      </c>
      <c r="C24" s="116">
        <v>638.500001</v>
      </c>
      <c r="D24" s="107">
        <v>1.095</v>
      </c>
    </row>
    <row r="25" spans="1:4" ht="11.25">
      <c r="A25" s="115">
        <v>505.500001</v>
      </c>
      <c r="B25" s="106">
        <v>1.088</v>
      </c>
      <c r="C25" s="116">
        <v>700.000001</v>
      </c>
      <c r="D25" s="107">
        <v>1.098</v>
      </c>
    </row>
    <row r="26" spans="1:4" ht="11.25">
      <c r="A26" s="115">
        <v>547.500001</v>
      </c>
      <c r="B26" s="106">
        <v>1.09</v>
      </c>
      <c r="C26" s="116">
        <v>751.500001</v>
      </c>
      <c r="D26" s="107">
        <v>1.1</v>
      </c>
    </row>
    <row r="27" spans="1:4" ht="11.25">
      <c r="A27" s="115">
        <v>587.500001</v>
      </c>
      <c r="B27" s="106">
        <v>1.092</v>
      </c>
      <c r="C27" s="3"/>
      <c r="D27" s="5"/>
    </row>
    <row r="28" spans="1:4" ht="11.25">
      <c r="A28" s="115">
        <v>638.500001</v>
      </c>
      <c r="B28" s="106">
        <v>1.095</v>
      </c>
      <c r="C28" s="3"/>
      <c r="D28" s="5"/>
    </row>
    <row r="29" spans="1:4" ht="11.25">
      <c r="A29" s="115">
        <v>700.000001</v>
      </c>
      <c r="B29" s="106">
        <v>1.098</v>
      </c>
      <c r="C29" s="3"/>
      <c r="D29" s="5"/>
    </row>
    <row r="30" spans="1:4" ht="11.25">
      <c r="A30" s="115">
        <v>751.500001</v>
      </c>
      <c r="B30" s="106">
        <v>1.1</v>
      </c>
      <c r="C30" s="3"/>
      <c r="D30" s="5"/>
    </row>
  </sheetData>
  <sheetProtection/>
  <mergeCells count="2">
    <mergeCell ref="A1:B1"/>
    <mergeCell ref="C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ZIMDAPH</dc:creator>
  <cp:keywords/>
  <dc:description/>
  <cp:lastModifiedBy>Zimdars, Paul H</cp:lastModifiedBy>
  <cp:lastPrinted>2011-11-15T18:02:13Z</cp:lastPrinted>
  <dcterms:created xsi:type="dcterms:W3CDTF">1999-10-06T15:57:55Z</dcterms:created>
  <dcterms:modified xsi:type="dcterms:W3CDTF">2011-11-15T20:53:10Z</dcterms:modified>
  <cp:category/>
  <cp:version/>
  <cp:contentType/>
  <cp:contentStatus/>
</cp:coreProperties>
</file>