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55" windowHeight="6030" activeTab="1"/>
  </bookViews>
  <sheets>
    <sheet name="Vegetable Contractor Security" sheetId="1" r:id="rId1"/>
    <sheet name="Vegetable Contractor Assessment" sheetId="2" r:id="rId2"/>
  </sheets>
  <definedNames>
    <definedName name="_xlnm.Print_Area" localSheetId="1">'Vegetable Contractor Assessment'!$A$1:$D$48</definedName>
    <definedName name="_xlnm.Print_Area" localSheetId="0">'Vegetable Contractor Security'!$A$1:$D$15</definedName>
  </definedNames>
  <calcPr fullCalcOnLoad="1"/>
</workbook>
</file>

<file path=xl/comments1.xml><?xml version="1.0" encoding="utf-8"?>
<comments xmlns="http://schemas.openxmlformats.org/spreadsheetml/2006/main">
  <authors>
    <author>zimdaph</author>
  </authors>
  <commentList>
    <comment ref="A8" authorId="0">
      <text>
        <r>
          <rPr>
            <sz val="8"/>
            <rFont val="Tahoma"/>
            <family val="2"/>
          </rPr>
          <t>The largest amount of unpaid contract obligations that the vegetable contractor had at any time during the vegetable contractor's last completed fiscal year.</t>
        </r>
      </text>
    </comment>
    <comment ref="A9" authorId="0">
      <text>
        <r>
          <rPr>
            <sz val="8"/>
            <rFont val="Tahoma"/>
            <family val="2"/>
          </rPr>
          <t>A vegetable contractor who files security under s.126.61 shall immediately notify the department if, at any time, the vegetable contractor's unpaid contract obligations exceed the amount last reported under sub. (9)(b).</t>
        </r>
      </text>
    </comment>
    <comment ref="A10" authorId="0">
      <text>
        <r>
          <rPr>
            <sz val="8"/>
            <rFont val="Tahoma"/>
            <family val="2"/>
          </rPr>
          <t>A vegetable contractor shall immediately notify the department if the amount of unpaid obligations under deferred payment contracts exceed the amount last reported under sub. (9)(e).</t>
        </r>
      </text>
    </comment>
    <comment ref="A6" authorId="0">
      <text>
        <r>
          <rPr>
            <sz val="8"/>
            <rFont val="Tahoma"/>
            <family val="2"/>
          </rPr>
          <t>The amount of contract obligations that the applicant incurred during the applicant's last completed fiscal year.</t>
        </r>
        <r>
          <rPr>
            <sz val="6"/>
            <rFont val="Tahoma"/>
            <family val="2"/>
          </rPr>
          <t xml:space="preserve"> If the applicant has not yet operated as a vegetable contractor, the applicant shall estimate the amount of contract obligations that the applicant will incur during the applicant's first complete fiscal year.</t>
        </r>
      </text>
    </comment>
  </commentList>
</comments>
</file>

<file path=xl/comments2.xml><?xml version="1.0" encoding="utf-8"?>
<comments xmlns="http://schemas.openxmlformats.org/spreadsheetml/2006/main">
  <authors>
    <author>ZIMDAPH</author>
    <author>zimdaph</author>
  </authors>
  <commentList>
    <comment ref="A13" authorId="0">
      <text>
        <r>
          <rPr>
            <sz val="8"/>
            <rFont val="Tahoma"/>
            <family val="2"/>
          </rPr>
          <t xml:space="preserve">If your balance sheet shows </t>
        </r>
        <r>
          <rPr>
            <b/>
            <sz val="8"/>
            <rFont val="Tahoma"/>
            <family val="2"/>
          </rPr>
          <t xml:space="preserve">Negative Equity </t>
        </r>
        <r>
          <rPr>
            <sz val="8"/>
            <rFont val="Tahoma"/>
            <family val="2"/>
          </rPr>
          <t>(after adjustments), click on the Enter "Negative Equity" button.</t>
        </r>
      </text>
    </comment>
    <comment ref="A1" authorId="0">
      <text>
        <r>
          <rPr>
            <sz val="8"/>
            <rFont val="Tahoma"/>
            <family val="2"/>
          </rPr>
          <t>Enter the legal name of the Vegetable Contractor.</t>
        </r>
      </text>
    </comment>
    <comment ref="B12" authorId="1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 for No Financial Statement.</t>
        </r>
      </text>
    </comment>
    <comment ref="B13" authorId="1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 for No Financial Statement.</t>
        </r>
      </text>
    </comment>
    <comment ref="C12" authorId="1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 for No Financial Statement.</t>
        </r>
      </text>
    </comment>
    <comment ref="C13" authorId="1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 for No Financial Statement.</t>
        </r>
      </text>
    </comment>
    <comment ref="A10" authorId="1">
      <text>
        <r>
          <rPr>
            <sz val="8"/>
            <rFont val="Tahoma"/>
            <family val="2"/>
          </rPr>
          <t>From License Application. Amount reported under s.126.56(9)(a).</t>
        </r>
      </text>
    </comment>
  </commentList>
</comments>
</file>

<file path=xl/sharedStrings.xml><?xml version="1.0" encoding="utf-8"?>
<sst xmlns="http://schemas.openxmlformats.org/spreadsheetml/2006/main" count="37" uniqueCount="29">
  <si>
    <t>Years</t>
  </si>
  <si>
    <t>&gt;=1.25</t>
  </si>
  <si>
    <t>No</t>
  </si>
  <si>
    <t>Yes</t>
  </si>
  <si>
    <t>Current Ratio Assessment Factor</t>
  </si>
  <si>
    <t>&gt;1.1 and &lt;1.25</t>
  </si>
  <si>
    <t>&lt;=1.1</t>
  </si>
  <si>
    <t>No FS</t>
  </si>
  <si>
    <t>FS Current Ratio Assessment Factor</t>
  </si>
  <si>
    <t>FS Debt to Equity Assessment Factor</t>
  </si>
  <si>
    <t>Current Ratio Switch</t>
  </si>
  <si>
    <t>Debt to Equity Ratio Switch</t>
  </si>
  <si>
    <t>Debt to Equity Ratio Assessment Factor</t>
  </si>
  <si>
    <t>&gt;4 and &lt;6</t>
  </si>
  <si>
    <t>&lt;=4</t>
  </si>
  <si>
    <t>Neg Equity or &gt;=6</t>
  </si>
  <si>
    <t>What if</t>
  </si>
  <si>
    <t>Estimated Default Exposure</t>
  </si>
  <si>
    <t>Target Estimated Default Exposure</t>
  </si>
  <si>
    <t>Year</t>
  </si>
  <si>
    <t>Factor to redude assessment</t>
  </si>
  <si>
    <t>&lt;&lt;&lt; Checks F32 and G32 for a number less than 6 but not equal to zero</t>
  </si>
  <si>
    <t>today</t>
  </si>
  <si>
    <t>1.  Does the vegetable contractor pay cash on delivery under all vegetable procurement contracts?</t>
  </si>
  <si>
    <t>2.  Is the vegetable contractor a producer-owned cooperative that procures processing vegetables only from its producer members?</t>
  </si>
  <si>
    <t>Minimum</t>
  </si>
  <si>
    <t>Largest amount of unpaid contract obligations</t>
  </si>
  <si>
    <t>What if...</t>
  </si>
  <si>
    <t xml:space="preserve">All purchases made by written contracts with 30 day payment terms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</si>
</sst>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0.0000000"/>
    <numFmt numFmtId="167" formatCode="0.00000000_);\(0.00000000\)"/>
    <numFmt numFmtId="168" formatCode="0.00000_);\(0.00000\)"/>
    <numFmt numFmtId="169" formatCode="&quot;$&quot;#,##0.00"/>
    <numFmt numFmtId="170" formatCode="mmmm\ d\,\ yyyy"/>
    <numFmt numFmtId="171" formatCode="&quot;$&quot;#,##0.0000000"/>
    <numFmt numFmtId="172" formatCode="&quot;$&quot;#,##0.000000"/>
  </numFmts>
  <fonts count="70">
    <font>
      <sz val="8"/>
      <name val="Arial"/>
      <family val="0"/>
    </font>
    <font>
      <b/>
      <sz val="7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60"/>
      <name val="Arial"/>
      <family val="2"/>
    </font>
    <font>
      <sz val="8"/>
      <color indexed="12"/>
      <name val="Arial"/>
      <family val="2"/>
    </font>
    <font>
      <sz val="8"/>
      <color indexed="52"/>
      <name val="Arial"/>
      <family val="2"/>
    </font>
    <font>
      <b/>
      <sz val="8"/>
      <color indexed="5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10"/>
      <color indexed="12"/>
      <name val="Arial"/>
      <family val="2"/>
    </font>
    <font>
      <sz val="6"/>
      <name val="Tahoma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sz val="9"/>
      <name val="Arial"/>
      <family val="2"/>
    </font>
    <font>
      <b/>
      <sz val="12"/>
      <color indexed="52"/>
      <name val="Arial"/>
      <family val="2"/>
    </font>
    <font>
      <sz val="12"/>
      <name val="Arial"/>
      <family val="2"/>
    </font>
    <font>
      <b/>
      <sz val="8"/>
      <color indexed="6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 style="thick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hidden="1"/>
    </xf>
    <xf numFmtId="0" fontId="6" fillId="0" borderId="0" xfId="0" applyFont="1" applyAlignment="1" applyProtection="1">
      <alignment horizontal="center" shrinkToFit="1"/>
      <protection hidden="1"/>
    </xf>
    <xf numFmtId="0" fontId="4" fillId="0" borderId="0" xfId="0" applyFont="1" applyAlignment="1" applyProtection="1">
      <alignment shrinkToFit="1"/>
      <protection locked="0"/>
    </xf>
    <xf numFmtId="0" fontId="5" fillId="0" borderId="0" xfId="0" applyFont="1" applyAlignment="1" applyProtection="1">
      <alignment horizontal="center" shrinkToFit="1"/>
      <protection hidden="1"/>
    </xf>
    <xf numFmtId="165" fontId="4" fillId="0" borderId="0" xfId="0" applyNumberFormat="1" applyFont="1" applyAlignment="1" applyProtection="1">
      <alignment shrinkToFit="1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7" fontId="5" fillId="0" borderId="0" xfId="0" applyNumberFormat="1" applyFont="1" applyBorder="1" applyAlignment="1" applyProtection="1">
      <alignment shrinkToFit="1"/>
      <protection hidden="1"/>
    </xf>
    <xf numFmtId="7" fontId="5" fillId="0" borderId="0" xfId="0" applyNumberFormat="1" applyFont="1" applyBorder="1" applyAlignment="1" applyProtection="1">
      <alignment shrinkToFit="1"/>
      <protection locked="0"/>
    </xf>
    <xf numFmtId="166" fontId="0" fillId="0" borderId="0" xfId="0" applyNumberFormat="1" applyFont="1" applyAlignment="1" applyProtection="1">
      <alignment shrinkToFit="1"/>
      <protection locked="0"/>
    </xf>
    <xf numFmtId="0" fontId="0" fillId="0" borderId="0" xfId="0" applyFont="1" applyAlignment="1" applyProtection="1">
      <alignment shrinkToFit="1"/>
      <protection locked="0"/>
    </xf>
    <xf numFmtId="167" fontId="0" fillId="0" borderId="0" xfId="0" applyNumberFormat="1" applyFont="1" applyAlignment="1" applyProtection="1">
      <alignment shrinkToFit="1"/>
      <protection locked="0"/>
    </xf>
    <xf numFmtId="167" fontId="0" fillId="0" borderId="0" xfId="0" applyNumberFormat="1" applyAlignment="1" applyProtection="1">
      <alignment shrinkToFit="1"/>
      <protection locked="0"/>
    </xf>
    <xf numFmtId="0" fontId="0" fillId="0" borderId="0" xfId="0" applyNumberFormat="1" applyAlignment="1" applyProtection="1">
      <alignment shrinkToFit="1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shrinkToFit="1"/>
      <protection hidden="1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69" fontId="5" fillId="0" borderId="0" xfId="0" applyNumberFormat="1" applyFont="1" applyAlignment="1" applyProtection="1">
      <alignment/>
      <protection locked="0"/>
    </xf>
    <xf numFmtId="169" fontId="12" fillId="33" borderId="0" xfId="44" applyNumberFormat="1" applyFont="1" applyFill="1" applyAlignment="1" applyProtection="1">
      <alignment horizontal="center" shrinkToFit="1"/>
      <protection locked="0"/>
    </xf>
    <xf numFmtId="0" fontId="8" fillId="0" borderId="0" xfId="0" applyFont="1" applyAlignment="1" applyProtection="1">
      <alignment horizontal="left" indent="1" shrinkToFit="1"/>
      <protection hidden="1"/>
    </xf>
    <xf numFmtId="0" fontId="2" fillId="0" borderId="0" xfId="0" applyFont="1" applyAlignment="1" applyProtection="1">
      <alignment horizontal="left" indent="1" shrinkToFit="1"/>
      <protection hidden="1"/>
    </xf>
    <xf numFmtId="0" fontId="0" fillId="0" borderId="0" xfId="0" applyAlignment="1" applyProtection="1">
      <alignment shrinkToFit="1"/>
      <protection hidden="1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 shrinkToFit="1"/>
      <protection locked="0"/>
    </xf>
    <xf numFmtId="7" fontId="5" fillId="0" borderId="0" xfId="0" applyNumberFormat="1" applyFont="1" applyBorder="1" applyAlignment="1" applyProtection="1">
      <alignment horizontal="right" shrinkToFit="1"/>
      <protection locked="0"/>
    </xf>
    <xf numFmtId="0" fontId="4" fillId="0" borderId="0" xfId="0" applyFont="1" applyAlignment="1" applyProtection="1">
      <alignment horizontal="right" shrinkToFit="1"/>
      <protection locked="0"/>
    </xf>
    <xf numFmtId="0" fontId="0" fillId="34" borderId="10" xfId="0" applyFont="1" applyFill="1" applyBorder="1" applyAlignment="1" applyProtection="1">
      <alignment horizontal="right" shrinkToFit="1"/>
      <protection locked="0"/>
    </xf>
    <xf numFmtId="0" fontId="3" fillId="0" borderId="11" xfId="0" applyFont="1" applyBorder="1" applyAlignment="1" applyProtection="1">
      <alignment horizontal="center" shrinkToFit="1"/>
      <protection locked="0"/>
    </xf>
    <xf numFmtId="0" fontId="0" fillId="0" borderId="11" xfId="0" applyFont="1" applyBorder="1" applyAlignment="1" applyProtection="1">
      <alignment horizontal="center" shrinkToFit="1"/>
      <protection locked="0"/>
    </xf>
    <xf numFmtId="0" fontId="10" fillId="0" borderId="11" xfId="0" applyFont="1" applyBorder="1" applyAlignment="1" applyProtection="1">
      <alignment horizontal="center" shrinkToFit="1"/>
      <protection locked="0"/>
    </xf>
    <xf numFmtId="0" fontId="17" fillId="0" borderId="10" xfId="0" applyFont="1" applyBorder="1" applyAlignment="1" applyProtection="1">
      <alignment horizontal="center" shrinkToFit="1"/>
      <protection locked="0"/>
    </xf>
    <xf numFmtId="0" fontId="19" fillId="0" borderId="10" xfId="0" applyFont="1" applyBorder="1" applyAlignment="1" applyProtection="1">
      <alignment horizontal="center" shrinkToFit="1"/>
      <protection locked="0"/>
    </xf>
    <xf numFmtId="0" fontId="10" fillId="0" borderId="10" xfId="0" applyFont="1" applyBorder="1" applyAlignment="1" applyProtection="1">
      <alignment horizontal="center" shrinkToFit="1"/>
      <protection locked="0"/>
    </xf>
    <xf numFmtId="165" fontId="17" fillId="0" borderId="0" xfId="0" applyNumberFormat="1" applyFont="1" applyBorder="1" applyAlignment="1" applyProtection="1">
      <alignment shrinkToFit="1"/>
      <protection locked="0"/>
    </xf>
    <xf numFmtId="165" fontId="19" fillId="0" borderId="0" xfId="0" applyNumberFormat="1" applyFont="1" applyBorder="1" applyAlignment="1" applyProtection="1">
      <alignment shrinkToFit="1"/>
      <protection locked="0"/>
    </xf>
    <xf numFmtId="165" fontId="10" fillId="0" borderId="0" xfId="0" applyNumberFormat="1" applyFont="1" applyBorder="1" applyAlignment="1" applyProtection="1">
      <alignment shrinkToFit="1"/>
      <protection locked="0"/>
    </xf>
    <xf numFmtId="0" fontId="20" fillId="35" borderId="11" xfId="0" applyFont="1" applyFill="1" applyBorder="1" applyAlignment="1" applyProtection="1">
      <alignment horizontal="right" shrinkToFit="1"/>
      <protection locked="0"/>
    </xf>
    <xf numFmtId="0" fontId="9" fillId="0" borderId="0" xfId="0" applyFont="1" applyBorder="1" applyAlignment="1" applyProtection="1">
      <alignment horizontal="center" shrinkToFit="1"/>
      <protection locked="0"/>
    </xf>
    <xf numFmtId="0" fontId="21" fillId="35" borderId="0" xfId="0" applyFont="1" applyFill="1" applyBorder="1" applyAlignment="1" applyProtection="1">
      <alignment horizontal="center" shrinkToFit="1"/>
      <protection locked="0"/>
    </xf>
    <xf numFmtId="0" fontId="22" fillId="0" borderId="0" xfId="0" applyFont="1" applyBorder="1" applyAlignment="1" applyProtection="1">
      <alignment horizontal="center" shrinkToFit="1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20" fillId="35" borderId="16" xfId="0" applyFont="1" applyFill="1" applyBorder="1" applyAlignment="1" applyProtection="1">
      <alignment horizontal="center" shrinkToFit="1"/>
      <protection locked="0"/>
    </xf>
    <xf numFmtId="0" fontId="23" fillId="0" borderId="17" xfId="0" applyFont="1" applyBorder="1" applyAlignment="1" applyProtection="1">
      <alignment horizontal="center" shrinkToFit="1"/>
      <protection locked="0"/>
    </xf>
    <xf numFmtId="0" fontId="20" fillId="35" borderId="18" xfId="0" applyFont="1" applyFill="1" applyBorder="1" applyAlignment="1" applyProtection="1">
      <alignment horizontal="center" shrinkToFit="1"/>
      <protection locked="0"/>
    </xf>
    <xf numFmtId="165" fontId="20" fillId="35" borderId="19" xfId="0" applyNumberFormat="1" applyFont="1" applyFill="1" applyBorder="1" applyAlignment="1" applyProtection="1">
      <alignment shrinkToFit="1"/>
      <protection locked="0"/>
    </xf>
    <xf numFmtId="0" fontId="23" fillId="0" borderId="20" xfId="0" applyFont="1" applyBorder="1" applyAlignment="1" applyProtection="1">
      <alignment horizontal="center" shrinkToFit="1"/>
      <protection locked="0"/>
    </xf>
    <xf numFmtId="165" fontId="17" fillId="0" borderId="21" xfId="0" applyNumberFormat="1" applyFont="1" applyBorder="1" applyAlignment="1" applyProtection="1">
      <alignment shrinkToFit="1"/>
      <protection locked="0"/>
    </xf>
    <xf numFmtId="0" fontId="22" fillId="0" borderId="21" xfId="0" applyFont="1" applyBorder="1" applyAlignment="1" applyProtection="1">
      <alignment horizontal="center" shrinkToFit="1"/>
      <protection locked="0"/>
    </xf>
    <xf numFmtId="165" fontId="19" fillId="0" borderId="21" xfId="0" applyNumberFormat="1" applyFont="1" applyBorder="1" applyAlignment="1" applyProtection="1">
      <alignment shrinkToFit="1"/>
      <protection locked="0"/>
    </xf>
    <xf numFmtId="0" fontId="9" fillId="0" borderId="21" xfId="0" applyFont="1" applyBorder="1" applyAlignment="1" applyProtection="1">
      <alignment horizontal="center" shrinkToFit="1"/>
      <protection locked="0"/>
    </xf>
    <xf numFmtId="165" fontId="10" fillId="0" borderId="21" xfId="0" applyNumberFormat="1" applyFont="1" applyBorder="1" applyAlignment="1" applyProtection="1">
      <alignment shrinkToFit="1"/>
      <protection locked="0"/>
    </xf>
    <xf numFmtId="0" fontId="21" fillId="35" borderId="21" xfId="0" applyFont="1" applyFill="1" applyBorder="1" applyAlignment="1" applyProtection="1">
      <alignment horizontal="center" shrinkToFit="1"/>
      <protection locked="0"/>
    </xf>
    <xf numFmtId="165" fontId="20" fillId="35" borderId="22" xfId="0" applyNumberFormat="1" applyFont="1" applyFill="1" applyBorder="1" applyAlignment="1" applyProtection="1">
      <alignment shrinkToFi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65" fontId="12" fillId="36" borderId="10" xfId="0" applyNumberFormat="1" applyFont="1" applyFill="1" applyBorder="1" applyAlignment="1" applyProtection="1">
      <alignment horizontal="center" shrinkToFit="1"/>
      <protection locked="0"/>
    </xf>
    <xf numFmtId="0" fontId="12" fillId="36" borderId="10" xfId="0" applyFont="1" applyFill="1" applyBorder="1" applyAlignment="1" applyProtection="1">
      <alignment horizontal="center" shrinkToFit="1"/>
      <protection locked="0"/>
    </xf>
    <xf numFmtId="7" fontId="4" fillId="0" borderId="0" xfId="0" applyNumberFormat="1" applyFont="1" applyFill="1" applyBorder="1" applyAlignment="1" applyProtection="1">
      <alignment shrinkToFit="1"/>
      <protection hidden="1"/>
    </xf>
    <xf numFmtId="0" fontId="5" fillId="0" borderId="0" xfId="0" applyFont="1" applyFill="1" applyBorder="1" applyAlignment="1" applyProtection="1">
      <alignment horizontal="center" shrinkToFit="1"/>
      <protection hidden="1"/>
    </xf>
    <xf numFmtId="165" fontId="4" fillId="0" borderId="0" xfId="0" applyNumberFormat="1" applyFont="1" applyFill="1" applyBorder="1" applyAlignment="1" applyProtection="1">
      <alignment shrinkToFit="1"/>
      <protection hidden="1"/>
    </xf>
    <xf numFmtId="0" fontId="4" fillId="0" borderId="0" xfId="0" applyFont="1" applyFill="1" applyBorder="1" applyAlignment="1" applyProtection="1">
      <alignment shrinkToFit="1"/>
      <protection hidden="1"/>
    </xf>
    <xf numFmtId="7" fontId="5" fillId="0" borderId="0" xfId="0" applyNumberFormat="1" applyFont="1" applyFill="1" applyBorder="1" applyAlignment="1" applyProtection="1">
      <alignment shrinkToFit="1"/>
      <protection hidden="1"/>
    </xf>
    <xf numFmtId="165" fontId="3" fillId="0" borderId="0" xfId="0" applyNumberFormat="1" applyFont="1" applyAlignment="1" applyProtection="1">
      <alignment horizontal="center" shrinkToFit="1"/>
      <protection locked="0"/>
    </xf>
    <xf numFmtId="165" fontId="9" fillId="0" borderId="0" xfId="0" applyNumberFormat="1" applyFont="1" applyAlignment="1" applyProtection="1">
      <alignment horizontal="center" shrinkToFi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shrinkToFit="1"/>
      <protection locked="0"/>
    </xf>
    <xf numFmtId="165" fontId="4" fillId="35" borderId="0" xfId="0" applyNumberFormat="1" applyFont="1" applyFill="1" applyAlignment="1" applyProtection="1">
      <alignment shrinkToFit="1"/>
      <protection locked="0"/>
    </xf>
    <xf numFmtId="0" fontId="10" fillId="0" borderId="0" xfId="0" applyFont="1" applyAlignment="1" applyProtection="1">
      <alignment horizontal="right" shrinkToFit="1"/>
      <protection locked="0"/>
    </xf>
    <xf numFmtId="0" fontId="4" fillId="35" borderId="0" xfId="0" applyFont="1" applyFill="1" applyAlignment="1" applyProtection="1">
      <alignment shrinkToFit="1"/>
      <protection locked="0"/>
    </xf>
    <xf numFmtId="7" fontId="4" fillId="35" borderId="0" xfId="0" applyNumberFormat="1" applyFont="1" applyFill="1" applyBorder="1" applyAlignment="1" applyProtection="1">
      <alignment shrinkToFit="1"/>
      <protection locked="0"/>
    </xf>
    <xf numFmtId="7" fontId="5" fillId="35" borderId="0" xfId="0" applyNumberFormat="1" applyFont="1" applyFill="1" applyBorder="1" applyAlignment="1" applyProtection="1">
      <alignment shrinkToFit="1"/>
      <protection locked="0"/>
    </xf>
    <xf numFmtId="0" fontId="0" fillId="0" borderId="0" xfId="0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7" fontId="4" fillId="0" borderId="0" xfId="0" applyNumberFormat="1" applyFont="1" applyFill="1" applyBorder="1" applyAlignment="1" applyProtection="1">
      <alignment horizontal="right" shrinkToFit="1"/>
      <protection hidden="1"/>
    </xf>
    <xf numFmtId="0" fontId="0" fillId="37" borderId="10" xfId="0" applyFont="1" applyFill="1" applyBorder="1" applyAlignment="1" applyProtection="1">
      <alignment horizontal="right" shrinkToFit="1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 shrinkToFit="1"/>
      <protection locked="0"/>
    </xf>
    <xf numFmtId="0" fontId="0" fillId="38" borderId="0" xfId="0" applyFill="1" applyAlignment="1" applyProtection="1">
      <alignment horizontal="center"/>
      <protection locked="0"/>
    </xf>
    <xf numFmtId="0" fontId="0" fillId="38" borderId="0" xfId="0" applyFill="1" applyAlignment="1" applyProtection="1">
      <alignment horizontal="center" shrinkToFit="1"/>
      <protection locked="0"/>
    </xf>
    <xf numFmtId="0" fontId="28" fillId="0" borderId="0" xfId="0" applyFont="1" applyAlignment="1" applyProtection="1">
      <alignment horizontal="right"/>
      <protection locked="0"/>
    </xf>
    <xf numFmtId="7" fontId="29" fillId="0" borderId="0" xfId="0" applyNumberFormat="1" applyFont="1" applyAlignment="1" applyProtection="1">
      <alignment horizontal="right" vertical="center" shrinkToFit="1"/>
      <protection hidden="1"/>
    </xf>
    <xf numFmtId="0" fontId="29" fillId="0" borderId="0" xfId="0" applyFont="1" applyAlignment="1" applyProtection="1">
      <alignment horizontal="right" vertical="center" shrinkToFit="1"/>
      <protection hidden="1"/>
    </xf>
    <xf numFmtId="0" fontId="29" fillId="0" borderId="0" xfId="0" applyFont="1" applyAlignment="1" applyProtection="1">
      <alignment horizontal="left" indent="1" shrinkToFit="1"/>
      <protection hidden="1"/>
    </xf>
    <xf numFmtId="0" fontId="4" fillId="0" borderId="0" xfId="0" applyFont="1" applyAlignment="1" applyProtection="1">
      <alignment horizontal="left" indent="1" shrinkToFit="1"/>
      <protection hidden="1"/>
    </xf>
    <xf numFmtId="0" fontId="29" fillId="0" borderId="0" xfId="0" applyFont="1" applyAlignment="1" applyProtection="1">
      <alignment horizontal="right" shrinkToFit="1"/>
      <protection hidden="1"/>
    </xf>
    <xf numFmtId="0" fontId="4" fillId="0" borderId="0" xfId="0" applyFont="1" applyAlignment="1" applyProtection="1">
      <alignment horizontal="left" indent="1"/>
      <protection hidden="1"/>
    </xf>
    <xf numFmtId="7" fontId="5" fillId="0" borderId="0" xfId="0" applyNumberFormat="1" applyFont="1" applyBorder="1" applyAlignment="1" applyProtection="1">
      <alignment horizontal="left" indent="1" shrinkToFit="1"/>
      <protection hidden="1"/>
    </xf>
    <xf numFmtId="166" fontId="7" fillId="37" borderId="10" xfId="0" applyNumberFormat="1" applyFont="1" applyFill="1" applyBorder="1" applyAlignment="1" applyProtection="1">
      <alignment horizontal="center" shrinkToFit="1"/>
      <protection locked="0"/>
    </xf>
    <xf numFmtId="0" fontId="7" fillId="37" borderId="10" xfId="0" applyFont="1" applyFill="1" applyBorder="1" applyAlignment="1" applyProtection="1">
      <alignment horizontal="center" shrinkToFit="1"/>
      <protection locked="0"/>
    </xf>
    <xf numFmtId="0" fontId="0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horizontal="left" indent="1" shrinkToFit="1"/>
      <protection locked="0"/>
    </xf>
    <xf numFmtId="169" fontId="0" fillId="0" borderId="0" xfId="0" applyNumberFormat="1" applyAlignment="1" applyProtection="1">
      <alignment/>
      <protection hidden="1"/>
    </xf>
    <xf numFmtId="169" fontId="0" fillId="0" borderId="23" xfId="0" applyNumberFormat="1" applyBorder="1" applyAlignment="1" applyProtection="1">
      <alignment/>
      <protection hidden="1"/>
    </xf>
    <xf numFmtId="169" fontId="0" fillId="0" borderId="0" xfId="0" applyNumberFormat="1" applyAlignment="1" applyProtection="1">
      <alignment shrinkToFit="1"/>
      <protection hidden="1"/>
    </xf>
    <xf numFmtId="0" fontId="27" fillId="0" borderId="0" xfId="0" applyFont="1" applyAlignment="1" applyProtection="1">
      <alignment horizontal="center" vertical="center" shrinkToFit="1"/>
      <protection hidden="1"/>
    </xf>
    <xf numFmtId="169" fontId="4" fillId="0" borderId="0" xfId="0" applyNumberFormat="1" applyFont="1" applyAlignment="1" applyProtection="1">
      <alignment shrinkToFit="1"/>
      <protection hidden="1"/>
    </xf>
    <xf numFmtId="169" fontId="25" fillId="34" borderId="10" xfId="0" applyNumberFormat="1" applyFont="1" applyFill="1" applyBorder="1" applyAlignment="1" applyProtection="1">
      <alignment shrinkToFit="1"/>
      <protection hidden="1"/>
    </xf>
    <xf numFmtId="169" fontId="25" fillId="0" borderId="10" xfId="0" applyNumberFormat="1" applyFont="1" applyBorder="1" applyAlignment="1" applyProtection="1">
      <alignment shrinkToFit="1"/>
      <protection locked="0"/>
    </xf>
    <xf numFmtId="0" fontId="0" fillId="0" borderId="24" xfId="0" applyBorder="1" applyAlignment="1" applyProtection="1">
      <alignment horizontal="center" vertical="center" wrapText="1"/>
      <protection hidden="1"/>
    </xf>
    <xf numFmtId="0" fontId="4" fillId="34" borderId="12" xfId="0" applyFont="1" applyFill="1" applyBorder="1" applyAlignment="1" applyProtection="1">
      <alignment horizontal="center" shrinkToFit="1"/>
      <protection locked="0"/>
    </xf>
    <xf numFmtId="0" fontId="4" fillId="34" borderId="25" xfId="0" applyFont="1" applyFill="1" applyBorder="1" applyAlignment="1" applyProtection="1">
      <alignment horizontal="center"/>
      <protection locked="0"/>
    </xf>
    <xf numFmtId="169" fontId="4" fillId="0" borderId="23" xfId="0" applyNumberFormat="1" applyFont="1" applyBorder="1" applyAlignment="1" applyProtection="1">
      <alignment/>
      <protection hidden="1"/>
    </xf>
    <xf numFmtId="169" fontId="0" fillId="0" borderId="10" xfId="0" applyNumberFormat="1" applyBorder="1" applyAlignment="1" applyProtection="1">
      <alignment shrinkToFit="1"/>
      <protection locked="0"/>
    </xf>
    <xf numFmtId="0" fontId="0" fillId="0" borderId="0" xfId="0" applyAlignment="1" applyProtection="1">
      <alignment horizontal="right" shrinkToFit="1"/>
      <protection locked="0"/>
    </xf>
    <xf numFmtId="169" fontId="0" fillId="0" borderId="0" xfId="0" applyNumberFormat="1" applyAlignment="1" applyProtection="1">
      <alignment horizontal="right" shrinkToFit="1"/>
      <protection locked="0"/>
    </xf>
    <xf numFmtId="169" fontId="0" fillId="0" borderId="0" xfId="0" applyNumberFormat="1" applyAlignment="1" applyProtection="1">
      <alignment horizontal="center" shrinkToFit="1"/>
      <protection locked="0"/>
    </xf>
    <xf numFmtId="0" fontId="0" fillId="34" borderId="10" xfId="0" applyFill="1" applyBorder="1" applyAlignment="1" applyProtection="1">
      <alignment horizontal="center" shrinkToFit="1"/>
      <protection locked="0"/>
    </xf>
    <xf numFmtId="0" fontId="0" fillId="34" borderId="26" xfId="0" applyFill="1" applyBorder="1" applyAlignment="1" applyProtection="1">
      <alignment horizontal="center" vertical="center" shrinkToFit="1"/>
      <protection locked="0"/>
    </xf>
    <xf numFmtId="0" fontId="0" fillId="39" borderId="0" xfId="0" applyFill="1" applyAlignment="1" applyProtection="1">
      <alignment horizontal="center" shrinkToFit="1"/>
      <protection locked="0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170" fontId="0" fillId="0" borderId="10" xfId="0" applyNumberFormat="1" applyBorder="1" applyAlignment="1" applyProtection="1">
      <alignment shrinkToFi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40" borderId="10" xfId="0" applyFill="1" applyBorder="1" applyAlignment="1" applyProtection="1">
      <alignment horizontal="center" vertical="center" wrapText="1"/>
      <protection locked="0"/>
    </xf>
    <xf numFmtId="0" fontId="0" fillId="40" borderId="10" xfId="0" applyFill="1" applyBorder="1" applyAlignment="1" applyProtection="1">
      <alignment horizontal="center" vertical="center" shrinkToFit="1"/>
      <protection locked="0"/>
    </xf>
    <xf numFmtId="0" fontId="0" fillId="40" borderId="0" xfId="0" applyFill="1" applyAlignment="1" applyProtection="1">
      <alignment shrinkToFit="1"/>
      <protection locked="0"/>
    </xf>
    <xf numFmtId="0" fontId="0" fillId="41" borderId="0" xfId="0" applyFill="1" applyAlignment="1" applyProtection="1">
      <alignment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30" fillId="37" borderId="0" xfId="0" applyFont="1" applyFill="1" applyAlignment="1" applyProtection="1">
      <alignment horizontal="left" indent="1" shrinkToFit="1"/>
      <protection hidden="1"/>
    </xf>
    <xf numFmtId="0" fontId="31" fillId="0" borderId="0" xfId="0" applyFont="1" applyAlignment="1" applyProtection="1">
      <alignment shrinkToFit="1"/>
      <protection hidden="1"/>
    </xf>
    <xf numFmtId="170" fontId="0" fillId="0" borderId="0" xfId="0" applyNumberFormat="1" applyAlignment="1" applyProtection="1">
      <alignment shrinkToFit="1"/>
      <protection locked="0"/>
    </xf>
    <xf numFmtId="170" fontId="0" fillId="33" borderId="0" xfId="0" applyNumberFormat="1" applyFill="1" applyAlignment="1" applyProtection="1">
      <alignment shrinkToFi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vertical="center" wrapText="1" indent="1" shrinkToFit="1"/>
      <protection hidden="1"/>
    </xf>
    <xf numFmtId="0" fontId="5" fillId="0" borderId="0" xfId="0" applyFont="1" applyAlignment="1" applyProtection="1">
      <alignment horizontal="right"/>
      <protection hidden="1"/>
    </xf>
    <xf numFmtId="0" fontId="12" fillId="0" borderId="10" xfId="0" applyFont="1" applyBorder="1" applyAlignment="1" applyProtection="1">
      <alignment horizontal="justify" vertical="center" wrapText="1"/>
      <protection hidden="1"/>
    </xf>
    <xf numFmtId="0" fontId="4" fillId="42" borderId="0" xfId="0" applyFont="1" applyFill="1" applyAlignment="1" applyProtection="1">
      <alignment horizontal="right"/>
      <protection locked="0"/>
    </xf>
    <xf numFmtId="7" fontId="4" fillId="42" borderId="10" xfId="0" applyNumberFormat="1" applyFont="1" applyFill="1" applyBorder="1" applyAlignment="1" applyProtection="1">
      <alignment horizontal="right" shrinkToFit="1"/>
      <protection locked="0"/>
    </xf>
    <xf numFmtId="7" fontId="4" fillId="35" borderId="10" xfId="0" applyNumberFormat="1" applyFont="1" applyFill="1" applyBorder="1" applyAlignment="1" applyProtection="1">
      <alignment horizontal="right" shrinkToFit="1"/>
      <protection locked="0"/>
    </xf>
    <xf numFmtId="169" fontId="12" fillId="0" borderId="0" xfId="44" applyNumberFormat="1" applyFont="1" applyFill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shrinkToFit="1"/>
      <protection locked="0"/>
    </xf>
    <xf numFmtId="0" fontId="19" fillId="0" borderId="0" xfId="0" applyFont="1" applyBorder="1" applyAlignment="1" applyProtection="1">
      <alignment horizontal="center" shrinkToFit="1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20" fillId="35" borderId="19" xfId="0" applyFont="1" applyFill="1" applyBorder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169" fontId="25" fillId="34" borderId="10" xfId="0" applyNumberFormat="1" applyFont="1" applyFill="1" applyBorder="1" applyAlignment="1" applyProtection="1">
      <alignment shrinkToFit="1"/>
      <protection hidden="1" locked="0"/>
    </xf>
    <xf numFmtId="0" fontId="7" fillId="0" borderId="10" xfId="0" applyFont="1" applyBorder="1" applyAlignment="1" applyProtection="1">
      <alignment wrapText="1"/>
      <protection hidden="1"/>
    </xf>
    <xf numFmtId="169" fontId="69" fillId="33" borderId="0" xfId="44" applyNumberFormat="1" applyFont="1" applyFill="1" applyAlignment="1" applyProtection="1">
      <alignment horizontal="center" shrinkToFit="1"/>
      <protection/>
    </xf>
    <xf numFmtId="0" fontId="4" fillId="0" borderId="0" xfId="0" applyFont="1" applyAlignment="1" applyProtection="1">
      <alignment wrapText="1" shrinkToFit="1"/>
      <protection hidden="1"/>
    </xf>
    <xf numFmtId="0" fontId="4" fillId="0" borderId="0" xfId="0" applyFont="1" applyAlignment="1" applyProtection="1">
      <alignment horizontal="left" vertical="center" wrapText="1" indent="1" shrinkToFi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left" indent="1" shrinkToFit="1"/>
      <protection hidden="1"/>
    </xf>
    <xf numFmtId="0" fontId="3" fillId="0" borderId="0" xfId="0" applyFont="1" applyAlignment="1" applyProtection="1">
      <alignment horizontal="left" indent="1" shrinkToFi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 shrinkToFit="1"/>
      <protection hidden="1"/>
    </xf>
    <xf numFmtId="0" fontId="4" fillId="0" borderId="28" xfId="0" applyFont="1" applyBorder="1" applyAlignment="1" applyProtection="1">
      <alignment vertical="center" wrapText="1" shrinkToFit="1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170" fontId="5" fillId="0" borderId="0" xfId="0" applyNumberFormat="1" applyFont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left" vertical="center" indent="1" shrinkToFit="1"/>
      <protection hidden="1"/>
    </xf>
    <xf numFmtId="0" fontId="0" fillId="0" borderId="0" xfId="0" applyAlignment="1" applyProtection="1">
      <alignment horizontal="left" vertical="center" indent="1" shrinkToFit="1"/>
      <protection hidden="1"/>
    </xf>
    <xf numFmtId="0" fontId="5" fillId="0" borderId="24" xfId="0" applyFont="1" applyBorder="1" applyAlignment="1" applyProtection="1">
      <alignment horizontal="right" shrinkToFit="1"/>
      <protection hidden="1"/>
    </xf>
    <xf numFmtId="0" fontId="5" fillId="0" borderId="0" xfId="0" applyFont="1" applyAlignment="1" applyProtection="1">
      <alignment horizontal="right" shrinkToFit="1"/>
      <protection hidden="1"/>
    </xf>
    <xf numFmtId="0" fontId="4" fillId="0" borderId="0" xfId="0" applyFont="1" applyFill="1" applyBorder="1" applyAlignment="1" applyProtection="1">
      <alignment horizontal="left" vertical="center" wrapText="1" shrinkToFit="1"/>
      <protection hidden="1"/>
    </xf>
    <xf numFmtId="0" fontId="0" fillId="0" borderId="0" xfId="0" applyFont="1" applyFill="1" applyBorder="1" applyAlignment="1" applyProtection="1">
      <alignment horizontal="left" vertical="center" wrapText="1" shrinkToFit="1"/>
      <protection hidden="1"/>
    </xf>
    <xf numFmtId="165" fontId="4" fillId="0" borderId="0" xfId="0" applyNumberFormat="1" applyFont="1" applyFill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4" fillId="0" borderId="0" xfId="0" applyFont="1" applyAlignment="1" applyProtection="1">
      <alignment horizontal="left" vertical="center" wrapText="1" indent="1"/>
      <protection hidden="1"/>
    </xf>
    <xf numFmtId="0" fontId="18" fillId="33" borderId="0" xfId="0" applyFont="1" applyFill="1" applyAlignment="1" applyProtection="1">
      <alignment horizontal="left" indent="1" shrinkToFit="1"/>
      <protection locked="0"/>
    </xf>
    <xf numFmtId="0" fontId="24" fillId="35" borderId="0" xfId="0" applyFont="1" applyFill="1" applyBorder="1" applyAlignment="1" applyProtection="1">
      <alignment vertical="center" wrapText="1" shrinkToFit="1"/>
      <protection hidden="1"/>
    </xf>
    <xf numFmtId="0" fontId="16" fillId="35" borderId="0" xfId="0" applyFont="1" applyFill="1" applyAlignment="1" applyProtection="1">
      <alignment horizontal="left" indent="1" shrinkToFit="1"/>
      <protection hidden="1"/>
    </xf>
    <xf numFmtId="0" fontId="0" fillId="0" borderId="0" xfId="0" applyAlignment="1" applyProtection="1">
      <alignment horizontal="left" indent="1" shrinkToFi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2">
    <dxf>
      <border>
        <left style="hair"/>
        <right style="hair"/>
        <top style="hair"/>
        <bottom style="hair"/>
      </border>
    </dxf>
    <dxf>
      <font>
        <b/>
        <i val="0"/>
        <color indexed="35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border>
        <bottom style="hair"/>
      </border>
    </dxf>
    <dxf>
      <font>
        <b/>
        <i val="0"/>
        <color auto="1"/>
      </font>
    </dxf>
    <dxf>
      <font>
        <b val="0"/>
        <i/>
        <color auto="1"/>
      </font>
    </dxf>
    <dxf>
      <font>
        <b/>
        <i val="0"/>
        <color indexed="53"/>
      </font>
      <fill>
        <patternFill>
          <bgColor indexed="26"/>
        </patternFill>
      </fill>
    </dxf>
    <dxf>
      <font>
        <b/>
        <i val="0"/>
        <color indexed="49"/>
      </font>
      <fill>
        <patternFill patternType="solid">
          <bgColor indexed="26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49"/>
      </font>
      <fill>
        <patternFill>
          <bgColor indexed="26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49"/>
      </font>
      <fill>
        <patternFill>
          <bgColor indexed="26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indexed="26"/>
        </patternFill>
      </fill>
      <border>
        <left/>
        <right/>
        <top/>
        <bottom/>
      </border>
    </dxf>
    <dxf>
      <font>
        <b/>
        <i val="0"/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indexed="21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20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</border>
    </dxf>
    <dxf>
      <font>
        <b/>
        <i val="0"/>
        <color indexed="53"/>
      </font>
      <fill>
        <patternFill patternType="solid">
          <bgColor indexed="26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26"/>
        </patternFill>
      </fill>
      <border>
        <left style="hair"/>
        <right style="hair"/>
        <top style="hair"/>
        <bottom style="hair"/>
      </border>
    </dxf>
    <dxf>
      <font>
        <color auto="1"/>
      </font>
      <fill>
        <patternFill>
          <bgColor indexed="26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53"/>
      </font>
      <fill>
        <patternFill>
          <bgColor indexed="26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thin"/>
      </border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60"/>
        </patternFill>
      </fill>
      <border>
        <top style="thin"/>
      </border>
    </dxf>
    <dxf>
      <font>
        <b/>
        <i val="0"/>
        <color indexed="10"/>
      </font>
      <fill>
        <patternFill>
          <bgColor indexed="13"/>
        </patternFill>
      </fill>
    </dxf>
    <dxf>
      <font>
        <b val="0"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  <fill>
        <patternFill>
          <bgColor indexed="42"/>
        </patternFill>
      </fill>
    </dxf>
    <dxf>
      <font>
        <b/>
        <i val="0"/>
        <color indexed="12"/>
      </font>
      <fill>
        <patternFill>
          <bgColor indexed="42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60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60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60"/>
      </font>
      <fill>
        <patternFill>
          <bgColor indexed="42"/>
        </patternFill>
      </fill>
      <border>
        <left style="hair"/>
        <right style="hair"/>
        <top style="hair"/>
        <bottom style="hair"/>
      </border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12"/>
      </font>
      <fill>
        <patternFill>
          <bgColor indexed="47"/>
        </patternFill>
      </fill>
    </dxf>
    <dxf>
      <font>
        <b/>
        <i val="0"/>
        <color indexed="34"/>
      </font>
      <fill>
        <patternFill>
          <bgColor indexed="10"/>
        </patternFill>
      </fill>
    </dxf>
    <dxf>
      <font>
        <b/>
        <i val="0"/>
        <color indexed="60"/>
      </font>
      <fill>
        <patternFill>
          <bgColor indexed="26"/>
        </patternFill>
      </fill>
    </dxf>
    <dxf>
      <font>
        <b/>
        <i val="0"/>
        <color indexed="62"/>
      </font>
    </dxf>
    <dxf>
      <font>
        <b/>
        <i val="0"/>
        <color indexed="10"/>
      </font>
      <fill>
        <patternFill>
          <bgColor indexed="13"/>
        </patternFill>
      </fill>
    </dxf>
    <dxf>
      <font>
        <color indexed="13"/>
      </font>
      <fill>
        <patternFill>
          <bgColor indexed="61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9"/>
      </font>
      <fill>
        <patternFill>
          <bgColor indexed="8"/>
        </patternFill>
      </fill>
    </dxf>
    <dxf>
      <font>
        <color indexed="12"/>
      </font>
      <border>
        <left style="hair"/>
        <right style="hair"/>
        <top style="hair"/>
        <bottom style="hair"/>
      </border>
    </dxf>
    <dxf>
      <border>
        <top/>
      </border>
    </dxf>
    <dxf>
      <font>
        <b val="0"/>
        <i/>
        <color indexed="60"/>
      </font>
      <fill>
        <patternFill>
          <bgColor indexed="47"/>
        </patternFill>
      </fill>
    </dxf>
    <dxf>
      <font>
        <b/>
        <i val="0"/>
        <color indexed="62"/>
      </font>
      <fill>
        <patternFill>
          <bgColor indexed="35"/>
        </patternFill>
      </fill>
    </dxf>
    <dxf>
      <font>
        <b/>
        <i val="0"/>
        <color indexed="16"/>
      </font>
      <fill>
        <patternFill>
          <bgColor indexed="13"/>
        </patternFill>
      </fill>
    </dxf>
    <dxf>
      <font>
        <b/>
        <i val="0"/>
        <color indexed="13"/>
      </font>
      <fill>
        <patternFill>
          <bgColor indexed="60"/>
        </patternFill>
      </fill>
    </dxf>
    <dxf>
      <font>
        <b/>
        <i val="0"/>
        <color rgb="FFFFFF00"/>
      </font>
      <fill>
        <patternFill>
          <bgColor rgb="FF993300"/>
        </patternFill>
      </fill>
      <border/>
    </dxf>
    <dxf>
      <font>
        <b/>
        <i val="0"/>
        <color rgb="FF800000"/>
      </font>
      <fill>
        <patternFill>
          <bgColor rgb="FFFFFF00"/>
        </patternFill>
      </fill>
      <border/>
    </dxf>
    <dxf>
      <font>
        <b/>
        <i val="0"/>
        <color rgb="FF333399"/>
      </font>
      <fill>
        <patternFill>
          <bgColor rgb="FF00FFFF"/>
        </patternFill>
      </fill>
      <border/>
    </dxf>
    <dxf>
      <font>
        <b val="0"/>
        <i/>
        <color rgb="FF993300"/>
      </font>
      <fill>
        <patternFill>
          <bgColor rgb="FFEAEAEA"/>
        </patternFill>
      </fill>
      <border/>
    </dxf>
    <dxf>
      <font>
        <color rgb="FF0000FF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color rgb="FFFFFF00"/>
      </font>
      <fill>
        <patternFill>
          <bgColor rgb="FF993366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333399"/>
      </font>
      <border/>
    </dxf>
    <dxf>
      <font>
        <b/>
        <i val="0"/>
        <color rgb="FF993300"/>
      </font>
      <fill>
        <patternFill>
          <bgColor rgb="FFFFFFCC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0000FF"/>
      </font>
      <fill>
        <patternFill>
          <bgColor rgb="FFEAEAEA"/>
        </patternFill>
      </fill>
      <border/>
    </dxf>
    <dxf>
      <font>
        <b/>
        <i val="0"/>
        <color rgb="FF993300"/>
      </font>
      <fill>
        <patternFill>
          <bgColor rgb="FFCC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auto="1"/>
      </font>
      <fill>
        <patternFill>
          <bgColor rgb="FFCC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  <color rgb="FF993300"/>
      </font>
      <fill>
        <patternFill>
          <bgColor rgb="FFCCFFCC"/>
        </patternFill>
      </fill>
      <border/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  <color rgb="FF9933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fill>
        <patternFill>
          <bgColor rgb="FFCC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  <color rgb="FF0000FF"/>
      </font>
      <fill>
        <patternFill>
          <bgColor rgb="FFCCFFCC"/>
        </patternFill>
      </fill>
      <border/>
    </dxf>
    <dxf>
      <font>
        <b/>
        <i val="0"/>
        <color rgb="FF0000FF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993300"/>
        </patternFill>
      </fill>
      <border>
        <top style="thin">
          <color rgb="FF000000"/>
        </top>
      </border>
    </dxf>
    <dxf>
      <border>
        <left style="hair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font>
        <b/>
        <i val="0"/>
        <color rgb="FFFF6600"/>
      </font>
      <fill>
        <patternFill>
          <bgColor rgb="FFFF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auto="1"/>
      </font>
      <fill>
        <patternFill>
          <bgColor rgb="FFFF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  <color auto="1"/>
      </font>
      <fill>
        <patternFill>
          <bgColor rgb="FFFF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  <color rgb="FFFF6600"/>
      </font>
      <fill>
        <patternFill patternType="solid"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66CC"/>
        </patternFill>
      </fill>
      <border>
        <top style="thin">
          <color rgb="FF000000"/>
        </top>
      </border>
    </dxf>
    <dxf>
      <font>
        <b/>
        <i val="0"/>
        <color rgb="FF80008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8080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/>
    </dxf>
    <dxf>
      <font>
        <b/>
        <i val="0"/>
        <color auto="1"/>
      </font>
      <fill>
        <patternFill>
          <bgColor rgb="FFCC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auto="1"/>
      </font>
      <fill>
        <patternFill>
          <bgColor rgb="FFFF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>
          <bgColor rgb="FFFFFFCC"/>
        </patternFill>
      </fill>
      <border/>
    </dxf>
    <dxf>
      <font>
        <color auto="1"/>
      </font>
      <fill>
        <patternFill>
          <bgColor rgb="FFEAEAEA"/>
        </patternFill>
      </fill>
      <border/>
    </dxf>
    <dxf>
      <font>
        <b val="0"/>
        <i/>
        <color auto="1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b/>
        <i val="0"/>
        <color rgb="FF33CCCC"/>
      </font>
      <fill>
        <patternFill>
          <bgColor rgb="FFFFFFCC"/>
        </patternFill>
      </fill>
      <border/>
    </dxf>
    <dxf>
      <font>
        <b/>
        <i val="0"/>
        <color rgb="FF33CCCC"/>
      </font>
      <fill>
        <patternFill>
          <bgColor rgb="FFFF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  <color rgb="FF33CCCC"/>
      </font>
      <fill>
        <patternFill patternType="solid"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6600"/>
      </font>
      <fill>
        <patternFill>
          <bgColor rgb="FFFFFFCC"/>
        </patternFill>
      </fill>
      <border/>
    </dxf>
    <dxf>
      <font>
        <b val="0"/>
        <i/>
        <color auto="1"/>
      </font>
      <border/>
    </dxf>
    <dxf>
      <font>
        <b/>
        <i val="0"/>
        <color auto="1"/>
      </font>
      <border/>
    </dxf>
    <dxf>
      <border>
        <bottom style="hair">
          <color rgb="FF000000"/>
        </bottom>
      </border>
    </dxf>
    <dxf>
      <font>
        <b/>
        <i val="0"/>
        <color rgb="FFFFFFFF"/>
      </font>
      <fill>
        <patternFill>
          <bgColor rgb="FF800000"/>
        </patternFill>
      </fill>
      <border/>
    </dxf>
    <dxf>
      <font>
        <b/>
        <i val="0"/>
        <color rgb="FF00FFFF"/>
      </font>
      <fill>
        <patternFill>
          <bgColor rgb="FF8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0"/>
  <sheetViews>
    <sheetView showGridLines="0" workbookViewId="0" topLeftCell="A1">
      <selection activeCell="B3" sqref="B3"/>
    </sheetView>
  </sheetViews>
  <sheetFormatPr defaultColWidth="0" defaultRowHeight="11.25" zeroHeight="1"/>
  <cols>
    <col min="1" max="1" width="41.66015625" style="12" bestFit="1" customWidth="1"/>
    <col min="2" max="2" width="17.83203125" style="12" customWidth="1"/>
    <col min="3" max="3" width="37.5" style="12" bestFit="1" customWidth="1"/>
    <col min="4" max="4" width="28.83203125" style="2" bestFit="1" customWidth="1"/>
    <col min="5" max="5" width="9.33203125" style="2" customWidth="1"/>
    <col min="6" max="6" width="9.33203125" style="2" hidden="1" customWidth="1"/>
    <col min="7" max="7" width="24.83203125" style="2" hidden="1" customWidth="1"/>
    <col min="8" max="8" width="2.16015625" style="2" hidden="1" customWidth="1"/>
    <col min="9" max="9" width="15" style="2" hidden="1" customWidth="1"/>
    <col min="10" max="10" width="28.83203125" style="2" hidden="1" customWidth="1"/>
    <col min="11" max="11" width="14.33203125" style="2" hidden="1" customWidth="1"/>
    <col min="12" max="12" width="13.66015625" style="2" hidden="1" customWidth="1"/>
    <col min="13" max="16384" width="9.33203125" style="2" hidden="1" customWidth="1"/>
  </cols>
  <sheetData>
    <row r="1" spans="1:12" ht="12" customHeight="1">
      <c r="A1" s="156" t="str">
        <f>IF('Vegetable Contractor Assessment'!A16="Go To 'Vegetable Contractor Security' Worksheet","Please Complete the Following:","No Information is Needed")</f>
        <v>No Information is Needed</v>
      </c>
      <c r="B1" s="159" t="str">
        <f>IF(ISBLANK(C1),"License Year Beginning: &gt;&gt;","License Year Beginning:")</f>
        <v>License Year Beginning:</v>
      </c>
      <c r="C1" s="161">
        <v>42767</v>
      </c>
      <c r="D1" s="28">
        <f>IF(ISBLANK(C1),"&lt;&lt; Enter License Year",IF(OR(H1=0,H4=0),"",J18))</f>
      </c>
      <c r="E1" s="82"/>
      <c r="G1" s="117" t="str">
        <f>C3</f>
        <v>Please Answer Questions 1 and 2.</v>
      </c>
      <c r="H1" s="118">
        <f>IF(C3="Security is NOT required",,1)</f>
        <v>1</v>
      </c>
      <c r="I1" s="130">
        <f>VLOOKUP("Yes",I2:J16,2,FALSE())</f>
        <v>43132</v>
      </c>
      <c r="K1" s="87" t="s">
        <v>22</v>
      </c>
      <c r="L1" s="131">
        <f ca="1">TODAY()</f>
        <v>43145</v>
      </c>
    </row>
    <row r="2" spans="1:11" ht="12" customHeight="1">
      <c r="A2" s="157"/>
      <c r="B2" s="160"/>
      <c r="C2" s="162"/>
      <c r="D2" s="104">
        <f>IF(OR(ISBLANK(C1),H1=0,H4=0),"",K18)</f>
      </c>
      <c r="E2" s="82"/>
      <c r="G2" s="117">
        <f>'Vegetable Contractor Assessment'!H1</f>
      </c>
      <c r="H2" s="120">
        <f>'Vegetable Contractor Assessment'!I1</f>
        <v>0</v>
      </c>
      <c r="I2" s="132" t="str">
        <f aca="true" t="shared" si="0" ref="I2:I16">IF(AND(OR($L$1=J2,$L$1&gt;J2),$L$1&lt;J3),"Yes","No")</f>
        <v>No</v>
      </c>
      <c r="J2" s="121">
        <v>40940</v>
      </c>
      <c r="K2" s="113">
        <v>20000000</v>
      </c>
    </row>
    <row r="3" spans="1:11" ht="39.75" customHeight="1">
      <c r="A3" s="135" t="s">
        <v>23</v>
      </c>
      <c r="B3" s="127"/>
      <c r="C3" s="158" t="str">
        <f>IF(AND(ISBLANK(B3),ISBLANK(B4)),"Please Answer Questions 1 and 2.",IF(OR(B3="Yes",B4="Yes"),"Security is NOT required",IF(OR(ISBLANK(B3),ISBLANK(B4)),"Please Answer Both Questions","SECURITY MAY BE REQUIRED")))</f>
        <v>Please Answer Questions 1 and 2.</v>
      </c>
      <c r="D3" s="154" t="str">
        <f>IF(OR(B3="Yes",B4="Yes",B6=500000,B6&lt;500000),"Not Required to File a Financial Statement","Required to File a Financial Statement")</f>
        <v>Not Required to File a Financial Statement</v>
      </c>
      <c r="E3" s="82"/>
      <c r="G3" s="122">
        <f>IF(H9=0,'Vegetable Contractor Assessment'!H2,G9)</f>
      </c>
      <c r="H3" s="120">
        <f>IF(B10&gt;0,H9,'Vegetable Contractor Assessment'!I2)</f>
        <v>0</v>
      </c>
      <c r="I3" s="132" t="str">
        <f t="shared" si="0"/>
        <v>No</v>
      </c>
      <c r="J3" s="121">
        <v>41306</v>
      </c>
      <c r="K3" s="113">
        <v>20000000</v>
      </c>
    </row>
    <row r="4" spans="1:11" ht="54.75" customHeight="1">
      <c r="A4" s="135" t="s">
        <v>24</v>
      </c>
      <c r="B4" s="127"/>
      <c r="C4" s="158"/>
      <c r="D4" s="155"/>
      <c r="E4" s="82"/>
      <c r="G4" s="122">
        <f>'Vegetable Contractor Assessment'!H3</f>
      </c>
      <c r="H4" s="120">
        <f>'Vegetable Contractor Assessment'!I3</f>
        <v>0</v>
      </c>
      <c r="I4" s="132" t="str">
        <f t="shared" si="0"/>
        <v>No</v>
      </c>
      <c r="J4" s="121">
        <v>41671</v>
      </c>
      <c r="K4" s="113">
        <v>20000000</v>
      </c>
    </row>
    <row r="5" spans="1:11" ht="27.75" customHeight="1">
      <c r="A5" s="135" t="str">
        <f>"3.  Is "&amp;IF(ISBLANK('Vegetable Contractor Assessment'!A1),"this for",'Vegetable Contractor Assessment'!A1)&amp;" a Contributing Vegetable Contractor?"</f>
        <v>3.  Is this for a Contributing Vegetable Contractor?</v>
      </c>
      <c r="B5" s="127"/>
      <c r="C5" s="105">
        <f>IF(LEFT(C3,6)="Please","",IF(H1=0,"",IF(OR(AND(H2=1,B6&gt;1000000),H3=1,AND(H4=1,D11&gt;K18)),"SECURITY IS REQUIRED","Security is NOT Required")))</f>
      </c>
      <c r="D5" s="109">
        <f>IF(OR(ISBLANK(C1),H1=0,H4=0),"","Estimated Default Exposure"&amp;IF(K20="No"," does not exceed "," exceeds ")&amp;DOLLAR(K18,2)&amp;".")</f>
      </c>
      <c r="E5" s="82"/>
      <c r="G5" s="123" t="str">
        <f>IF(H5=1,"FS Filed","No FS Filed")</f>
        <v>No FS Filed</v>
      </c>
      <c r="H5" s="124">
        <f>IF(AND(D3="Not Required to File a Financial Statement",'Vegetable Contractor Assessment'!B12=0,'Vegetable Contractor Assessment'!B13=0),,1)</f>
        <v>0</v>
      </c>
      <c r="I5" s="132" t="str">
        <f t="shared" si="0"/>
        <v>No</v>
      </c>
      <c r="J5" s="121">
        <v>42036</v>
      </c>
      <c r="K5" s="113">
        <v>20000000</v>
      </c>
    </row>
    <row r="6" spans="1:11" ht="13.5" customHeight="1">
      <c r="A6" s="83" t="str">
        <f>IF(H1=0,"","Amount of contract obligations")</f>
        <v>Amount of contract obligations</v>
      </c>
      <c r="B6" s="146"/>
      <c r="C6" s="163">
        <f>IF(H1=0,"",G11)</f>
      </c>
      <c r="D6" s="164"/>
      <c r="E6" s="82"/>
      <c r="G6" s="123" t="s">
        <v>19</v>
      </c>
      <c r="H6" s="124">
        <f>'Vegetable Contractor Assessment'!B15</f>
        <v>0</v>
      </c>
      <c r="I6" s="132" t="str">
        <f t="shared" si="0"/>
        <v>No</v>
      </c>
      <c r="J6" s="121">
        <v>42401</v>
      </c>
      <c r="K6" s="113">
        <v>20000000</v>
      </c>
    </row>
    <row r="7" spans="1:11" ht="13.5" customHeight="1" hidden="1">
      <c r="A7" s="83" t="str">
        <f>IF(H1=0,"","Amount Reported under s.126.56(9)(e)")</f>
        <v>Amount Reported under s.126.56(9)(e)</v>
      </c>
      <c r="B7" s="107"/>
      <c r="C7" s="106">
        <f>IF(H1=0,"",IF(B7&gt;$B$6,"Cannot be more than "&amp;DOLLAR($B$6,2)&amp;".",IF(OR(ISBLANK(B3),ISBLANK(B4),ISBLANK(B5)),"",IF(OR(B7&gt;B10,B7=B10),B7,))))</f>
      </c>
      <c r="D7" s="102">
        <f>IF(OR(ISBLANK(C1),H1=0,H4=0),"",IF(OR(B7&gt;B10,B7=B10),B7,))</f>
      </c>
      <c r="E7" s="82"/>
      <c r="I7" s="132" t="str">
        <f t="shared" si="0"/>
        <v>No</v>
      </c>
      <c r="J7" s="121">
        <v>42767</v>
      </c>
      <c r="K7" s="113">
        <v>20000000</v>
      </c>
    </row>
    <row r="8" spans="1:11" ht="26.25" customHeight="1">
      <c r="A8" s="147" t="s">
        <v>26</v>
      </c>
      <c r="B8" s="108"/>
      <c r="C8" s="106"/>
      <c r="D8" s="102">
        <f>IF(OR(ISBLANK(C1),H1=0,H4=0),"",IF(OR(B8&gt;B9,B8=B9),0.75*B8,))</f>
      </c>
      <c r="E8" s="82"/>
      <c r="I8" s="132" t="str">
        <f t="shared" si="0"/>
        <v>Yes</v>
      </c>
      <c r="J8" s="121">
        <v>43132</v>
      </c>
      <c r="K8" s="113">
        <v>20000000</v>
      </c>
    </row>
    <row r="9" spans="1:11" ht="13.5" customHeight="1">
      <c r="A9" s="83"/>
      <c r="B9" s="108"/>
      <c r="C9" s="106"/>
      <c r="D9" s="102"/>
      <c r="E9" s="82"/>
      <c r="G9" s="117">
        <f>IF(AND(B10&gt;0,'Vegetable Contractor Assessment'!I2=1),"Unpaid Deferred Contract Obligations","")</f>
      </c>
      <c r="H9" s="120">
        <f>IF(G9="",,1)</f>
        <v>0</v>
      </c>
      <c r="I9" s="132" t="str">
        <f t="shared" si="0"/>
        <v>No</v>
      </c>
      <c r="J9" s="121">
        <v>43497</v>
      </c>
      <c r="K9" s="113">
        <v>20000000</v>
      </c>
    </row>
    <row r="10" spans="1:11" ht="13.5" customHeight="1" thickBot="1">
      <c r="A10" s="83"/>
      <c r="B10" s="108"/>
      <c r="C10" s="106"/>
      <c r="D10" s="102"/>
      <c r="E10" s="82"/>
      <c r="I10" s="132" t="str">
        <f t="shared" si="0"/>
        <v>No</v>
      </c>
      <c r="J10" s="121">
        <v>43862</v>
      </c>
      <c r="K10" s="113">
        <v>20000000</v>
      </c>
    </row>
    <row r="11" spans="1:11" ht="13.5" thickTop="1">
      <c r="A11" s="165">
        <f>IF(AND(D13=0,C5="Security is Required"),"Security Amount &gt;&gt;     ","")</f>
      </c>
      <c r="B11" s="165"/>
      <c r="C11" s="112"/>
      <c r="D11" s="103">
        <f>IF(OR(ISBLANK(C1),H1=0,H4=0),"",SUM(D7:D10))</f>
      </c>
      <c r="E11" s="82"/>
      <c r="G11" s="125">
        <f>IF(G2="","",G2&amp;"    ")&amp;IF(G3="","",G3&amp;"    ")&amp;IF(G4="","",IF(D13=0,"",G4))</f>
      </c>
      <c r="I11" s="132" t="str">
        <f t="shared" si="0"/>
        <v>No</v>
      </c>
      <c r="J11" s="121">
        <v>44228</v>
      </c>
      <c r="K11" s="113">
        <v>20000000</v>
      </c>
    </row>
    <row r="12" spans="1:11" ht="13.5" thickBot="1">
      <c r="A12" s="11"/>
      <c r="B12" s="11"/>
      <c r="C12" s="11"/>
      <c r="D12" s="102">
        <f>IF(OR(ISBLANK(C1),H1=0,H4=0),"",IF(K20="Yes",-K18,-K19))</f>
      </c>
      <c r="E12" s="82"/>
      <c r="I12" s="132" t="str">
        <f t="shared" si="0"/>
        <v>No</v>
      </c>
      <c r="J12" s="121">
        <v>44593</v>
      </c>
      <c r="K12" s="113">
        <v>20000000</v>
      </c>
    </row>
    <row r="13" spans="1:11" ht="13.5" thickTop="1">
      <c r="A13" s="166"/>
      <c r="B13" s="166"/>
      <c r="C13" s="134">
        <f>IF(AND(D13&gt;0,C5="Security is Required"),"Security Amount &gt;&gt;     ","")</f>
      </c>
      <c r="D13" s="103">
        <f>IF(OR(ISBLANK(C1),H1=0,H4=0),"",D11+D12)</f>
      </c>
      <c r="E13" s="82"/>
      <c r="G13" s="126" t="e">
        <f>ROUND(D13/D11,6)</f>
        <v>#VALUE!</v>
      </c>
      <c r="H13" s="126">
        <f>IF(H1=0,,IF(H4=1,1,))</f>
        <v>0</v>
      </c>
      <c r="I13" s="132" t="str">
        <f t="shared" si="0"/>
        <v>No</v>
      </c>
      <c r="J13" s="121">
        <v>44958</v>
      </c>
      <c r="K13" s="113">
        <v>20000000</v>
      </c>
    </row>
    <row r="14" spans="1:11" ht="12.75" customHeight="1">
      <c r="A14" s="150"/>
      <c r="B14" s="133"/>
      <c r="C14" s="11"/>
      <c r="D14" s="82"/>
      <c r="E14" s="82"/>
      <c r="G14" s="126" t="s">
        <v>20</v>
      </c>
      <c r="I14" s="132" t="str">
        <f t="shared" si="0"/>
        <v>No</v>
      </c>
      <c r="J14" s="121">
        <v>45323</v>
      </c>
      <c r="K14" s="113">
        <v>20000000</v>
      </c>
    </row>
    <row r="15" spans="1:11" ht="12.75">
      <c r="A15" s="151"/>
      <c r="B15" s="133"/>
      <c r="C15" s="152">
        <f>IF(ISBLANK('Vegetable Contractor Assessment'!A1),"",'Vegetable Contractor Assessment'!A1)</f>
      </c>
      <c r="D15" s="153"/>
      <c r="E15" s="82"/>
      <c r="I15" s="132" t="str">
        <f t="shared" si="0"/>
        <v>No</v>
      </c>
      <c r="J15" s="121">
        <v>45689</v>
      </c>
      <c r="K15" s="113">
        <v>20000000</v>
      </c>
    </row>
    <row r="16" spans="1:11" ht="12.75">
      <c r="A16" s="11"/>
      <c r="B16" s="11"/>
      <c r="C16" s="11"/>
      <c r="D16" s="82"/>
      <c r="E16" s="82"/>
      <c r="G16" s="119"/>
      <c r="I16" s="132" t="str">
        <f t="shared" si="0"/>
        <v>No</v>
      </c>
      <c r="J16" s="121">
        <v>46054</v>
      </c>
      <c r="K16" s="113">
        <v>20000000</v>
      </c>
    </row>
    <row r="17" spans="1:7" ht="12.75">
      <c r="A17" s="11"/>
      <c r="B17" s="11"/>
      <c r="C17" s="11"/>
      <c r="D17" s="82"/>
      <c r="E17" s="82"/>
      <c r="G17" s="119" t="s">
        <v>3</v>
      </c>
    </row>
    <row r="18" spans="1:11" ht="7.5" customHeight="1">
      <c r="A18" s="11"/>
      <c r="B18" s="11"/>
      <c r="C18" s="11"/>
      <c r="D18" s="82"/>
      <c r="E18" s="82"/>
      <c r="G18" s="119" t="s">
        <v>2</v>
      </c>
      <c r="J18" s="114" t="s">
        <v>18</v>
      </c>
      <c r="K18" s="115">
        <f>IF(ISERROR(VLOOKUP(C1,J2:K16,2,FALSE())),,VLOOKUP(C1,J2:K16,2,FALSE()))</f>
        <v>20000000</v>
      </c>
    </row>
    <row r="19" spans="10:11" ht="12.75" hidden="1">
      <c r="J19" s="114" t="s">
        <v>17</v>
      </c>
      <c r="K19" s="115">
        <f>D11</f>
      </c>
    </row>
    <row r="20" spans="10:11" ht="12.75" hidden="1">
      <c r="J20" s="114" t="str">
        <f>"Is estimated default exposure &gt; "&amp;DOLLAR(K18,)&amp;"?"</f>
        <v>Is estimated default exposure &gt; $20,000,000?</v>
      </c>
      <c r="K20" s="116" t="str">
        <f>IF(K19&gt;K18,"Yes","No")</f>
        <v>Yes</v>
      </c>
    </row>
  </sheetData>
  <sheetProtection/>
  <mergeCells count="10">
    <mergeCell ref="A14:A15"/>
    <mergeCell ref="C15:D15"/>
    <mergeCell ref="D3:D4"/>
    <mergeCell ref="A1:A2"/>
    <mergeCell ref="C3:C4"/>
    <mergeCell ref="B1:B2"/>
    <mergeCell ref="C1:C2"/>
    <mergeCell ref="C6:D6"/>
    <mergeCell ref="A11:B11"/>
    <mergeCell ref="A13:B13"/>
  </mergeCells>
  <conditionalFormatting sqref="C5">
    <cfRule type="cellIs" priority="1" dxfId="57" operator="equal" stopIfTrue="1">
      <formula>"SECURITY IS REQUIRED"</formula>
    </cfRule>
    <cfRule type="cellIs" priority="2" dxfId="58" operator="equal" stopIfTrue="1">
      <formula>"Security is NOT Required"</formula>
    </cfRule>
  </conditionalFormatting>
  <conditionalFormatting sqref="D3:D4">
    <cfRule type="cellIs" priority="3" dxfId="59" operator="equal" stopIfTrue="1">
      <formula>"Required to File A Financial Statement"</formula>
    </cfRule>
    <cfRule type="cellIs" priority="4" dxfId="60" operator="equal" stopIfTrue="1">
      <formula>"Not Required to File a Financial Statement"</formula>
    </cfRule>
  </conditionalFormatting>
  <conditionalFormatting sqref="C11:D11 D13">
    <cfRule type="cellIs" priority="5" dxfId="52" operator="equal" stopIfTrue="1">
      <formula>""</formula>
    </cfRule>
  </conditionalFormatting>
  <conditionalFormatting sqref="D5">
    <cfRule type="cellIs" priority="6" dxfId="61" operator="notEqual" stopIfTrue="1">
      <formula>""</formula>
    </cfRule>
  </conditionalFormatting>
  <conditionalFormatting sqref="B1:B2">
    <cfRule type="cellIs" priority="7" dxfId="62" operator="equal" stopIfTrue="1">
      <formula>"License Year Beginning: &gt;&gt;"</formula>
    </cfRule>
  </conditionalFormatting>
  <conditionalFormatting sqref="C6:D6">
    <cfRule type="cellIs" priority="8" dxfId="63" operator="notEqual" stopIfTrue="1">
      <formula>""</formula>
    </cfRule>
  </conditionalFormatting>
  <conditionalFormatting sqref="A1:A2">
    <cfRule type="cellIs" priority="9" dxfId="64" operator="equal" stopIfTrue="1">
      <formula>"No Information is Needed"</formula>
    </cfRule>
    <cfRule type="cellIs" priority="10" dxfId="65" operator="equal" stopIfTrue="1">
      <formula>"Please Complete the Following:"</formula>
    </cfRule>
  </conditionalFormatting>
  <conditionalFormatting sqref="A14:A15">
    <cfRule type="cellIs" priority="11" dxfId="66" operator="equal" stopIfTrue="1">
      <formula>"You have chosen a License Year that is NOT the current license year."</formula>
    </cfRule>
    <cfRule type="cellIs" priority="12" dxfId="67" operator="equal" stopIfTrue="1">
      <formula>"Choose a License Year"</formula>
    </cfRule>
  </conditionalFormatting>
  <dataValidations count="2">
    <dataValidation type="list" allowBlank="1" showInputMessage="1" showErrorMessage="1" errorTitle="Data Entry Error:" error="Choose a date from the drop-down list." sqref="C1">
      <formula1>$J$1:$J$16</formula1>
    </dataValidation>
    <dataValidation type="list" allowBlank="1" showInputMessage="1" showErrorMessage="1" sqref="B3:B5">
      <formula1>$G$16:$G$18</formula1>
    </dataValidation>
  </dataValidation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65"/>
  <sheetViews>
    <sheetView showGridLines="0" tabSelected="1" zoomScalePageLayoutView="0" workbookViewId="0" topLeftCell="A1">
      <selection activeCell="B13" sqref="B13"/>
    </sheetView>
  </sheetViews>
  <sheetFormatPr defaultColWidth="0" defaultRowHeight="11.25" zeroHeight="1"/>
  <cols>
    <col min="1" max="1" width="50.83203125" style="12" customWidth="1"/>
    <col min="2" max="3" width="13.83203125" style="12" customWidth="1"/>
    <col min="4" max="4" width="50.83203125" style="12" customWidth="1"/>
    <col min="5" max="7" width="10.66015625" style="12" hidden="1" customWidth="1"/>
    <col min="8" max="8" width="47.33203125" style="29" hidden="1" customWidth="1"/>
    <col min="9" max="9" width="10.66015625" style="29" hidden="1" customWidth="1"/>
    <col min="10" max="10" width="10.66015625" style="12" hidden="1" customWidth="1"/>
    <col min="11" max="11" width="6.5" style="12" hidden="1" customWidth="1"/>
    <col min="12" max="12" width="8.66015625" style="12" hidden="1" customWidth="1"/>
    <col min="13" max="13" width="6.5" style="2" hidden="1" customWidth="1"/>
    <col min="14" max="14" width="13.16015625" style="2" hidden="1" customWidth="1"/>
    <col min="15" max="15" width="6.5" style="2" hidden="1" customWidth="1"/>
    <col min="16" max="16" width="9.16015625" style="2" hidden="1" customWidth="1"/>
    <col min="17" max="17" width="6.5" style="2" hidden="1" customWidth="1"/>
    <col min="18" max="18" width="8.66015625" style="2" hidden="1" customWidth="1"/>
    <col min="19" max="19" width="6.5" style="2" hidden="1" customWidth="1"/>
    <col min="20" max="20" width="8.66015625" style="2" hidden="1" customWidth="1"/>
    <col min="21" max="21" width="6.5" style="2" hidden="1" customWidth="1"/>
    <col min="22" max="22" width="9.16015625" style="2" hidden="1" customWidth="1"/>
    <col min="23" max="23" width="6.5" style="2" hidden="1" customWidth="1"/>
    <col min="24" max="24" width="15.33203125" style="2" hidden="1" customWidth="1"/>
    <col min="25" max="25" width="6.5" style="2" hidden="1" customWidth="1"/>
    <col min="26" max="26" width="9.16015625" style="2" hidden="1" customWidth="1"/>
    <col min="27" max="16384" width="10.66015625" style="2" hidden="1" customWidth="1"/>
  </cols>
  <sheetData>
    <row r="1" spans="1:9" ht="19.5" customHeight="1">
      <c r="A1" s="173"/>
      <c r="B1" s="173"/>
      <c r="C1" s="173"/>
      <c r="D1" s="11"/>
      <c r="E1" s="6"/>
      <c r="H1" s="110">
        <f>IF(AND(B13="Negative Equity",B15=1,B10&gt;1000000),"First Year Negative Equity","")</f>
      </c>
      <c r="I1" s="111">
        <f>IF(H1="",,1)</f>
        <v>0</v>
      </c>
    </row>
    <row r="2" spans="1:22" ht="15.75">
      <c r="A2" s="175"/>
      <c r="B2" s="176"/>
      <c r="C2" s="176"/>
      <c r="D2" s="128">
        <f>IF(AND(ISNUMBER(B10),V2=0),H15,"")</f>
      </c>
      <c r="E2" s="28"/>
      <c r="H2" s="110">
        <f>IF(AND(B11&gt;0,B12=0,B13=0),"Unpaid Deferred Contract Obligations",IF(AND(B11&gt;0,B12&gt;0,OR(B12&lt;1.25,B13="Negative Equity",B13&gt;4)),"Unpaid Deferred Contract Obligations",""))</f>
      </c>
      <c r="I2" s="111">
        <f>IF(H2="",,1)</f>
        <v>0</v>
      </c>
      <c r="J2" s="1"/>
      <c r="K2" s="86">
        <f>IF(ISBLANK(B12),1,)</f>
        <v>1</v>
      </c>
      <c r="L2" s="86">
        <f>IF(ISBLANK(B13),1,)</f>
        <v>1</v>
      </c>
      <c r="M2" s="86">
        <f>IF(ISBLANK(B15),1,)</f>
        <v>1</v>
      </c>
      <c r="N2" s="86">
        <f>SUM(K2:M2)</f>
        <v>3</v>
      </c>
      <c r="S2" s="88">
        <f>IF(ISBLANK(C12),1,)</f>
        <v>1</v>
      </c>
      <c r="T2" s="88">
        <f>IF(ISBLANK(C13),1,)</f>
        <v>1</v>
      </c>
      <c r="U2" s="88">
        <f>IF(ISBLANK(C15),1,)</f>
        <v>1</v>
      </c>
      <c r="V2" s="88">
        <f>SUM(S2:U2)</f>
        <v>3</v>
      </c>
    </row>
    <row r="3" spans="1:25" s="4" customFormat="1" ht="13.5" customHeight="1" thickBot="1">
      <c r="A3" s="91">
        <f>IF(OR(ISBLANK(B10),AND(N2&gt;0.1,ISBLANK(B12))),"",A32)</f>
      </c>
      <c r="B3" s="91">
        <f>IF(I17=0,IF(OR(ISBLANK(B10),AND(N2&gt;0.1,ISBLANK(B12))),"",B32),"")</f>
      </c>
      <c r="C3" s="91">
        <f>IF(I17=0,IF(J10=1,C32,""),"")</f>
      </c>
      <c r="D3" s="93">
        <f>IF(OR(ISBLANK(B10),AND(V2&gt;0.1,ISBLANK(C12))),"",D32)</f>
      </c>
      <c r="E3" s="100"/>
      <c r="F3" s="101"/>
      <c r="G3" s="1"/>
      <c r="H3" s="110">
        <f>IF(OR(AND(B12&gt;0,B12&lt;1.25),B13="Negative Equity",B13&gt;4),"Estimated Default Exposure","")</f>
      </c>
      <c r="I3" s="111">
        <f>IF(H3="",,1)</f>
        <v>0</v>
      </c>
      <c r="J3" s="3"/>
      <c r="K3" s="87" t="str">
        <f>IF(K2=1," current ratio","")</f>
        <v> current ratio</v>
      </c>
      <c r="L3" s="87" t="str">
        <f>IF(L2=1," debt to equity ratio","")</f>
        <v> debt to equity ratio</v>
      </c>
      <c r="M3" s="87" t="str">
        <f>IF(M2=1," consecutive years","")</f>
        <v> consecutive years</v>
      </c>
      <c r="N3" s="87"/>
      <c r="O3" s="2"/>
      <c r="P3" s="2"/>
      <c r="Q3" s="2"/>
      <c r="R3" s="2"/>
      <c r="S3" s="89" t="str">
        <f>IF(S2=1," current ratio","")</f>
        <v> current ratio</v>
      </c>
      <c r="T3" s="89" t="str">
        <f>IF(T2=1," debt to equity ratio","")</f>
        <v> debt to equity ratio</v>
      </c>
      <c r="U3" s="89" t="str">
        <f>IF(U2=1," consecutive years","")</f>
        <v> consecutive years</v>
      </c>
      <c r="V3" s="89"/>
      <c r="W3" s="2"/>
      <c r="X3" s="2"/>
      <c r="Y3" s="2"/>
    </row>
    <row r="4" spans="1:27" s="4" customFormat="1" ht="13.5" customHeight="1" thickTop="1">
      <c r="A4" s="91">
        <f>IF(OR(ISBLANK(B10),AND(N2&gt;0.1,ISBLANK(B13))),"",A46)</f>
      </c>
      <c r="B4" s="91">
        <f>IF(I17=0,IF(OR(ISBLANK(B10),N2&gt;0.1),"",B46),"")</f>
      </c>
      <c r="C4" s="91">
        <f>IF(I17=0,IF(J11=1,C46,""),"")</f>
      </c>
      <c r="D4" s="93">
        <f>IF(OR(ISBLANK(B10),AND(V2&gt;0.1,ISBLANK(C13))),"",D46)</f>
      </c>
      <c r="E4" s="100"/>
      <c r="F4" s="3"/>
      <c r="G4" s="3"/>
      <c r="H4" s="75"/>
      <c r="I4" s="75"/>
      <c r="J4" s="74" t="s">
        <v>16</v>
      </c>
      <c r="K4" s="48"/>
      <c r="L4" s="49" t="s">
        <v>4</v>
      </c>
      <c r="M4" s="49"/>
      <c r="N4" s="49"/>
      <c r="O4" s="49"/>
      <c r="P4" s="49"/>
      <c r="Q4" s="49"/>
      <c r="R4" s="50"/>
      <c r="S4" s="48"/>
      <c r="T4" s="49" t="s">
        <v>12</v>
      </c>
      <c r="U4" s="49"/>
      <c r="V4" s="49"/>
      <c r="W4" s="49"/>
      <c r="X4" s="49"/>
      <c r="Y4" s="49"/>
      <c r="Z4" s="50"/>
      <c r="AA4" s="2"/>
    </row>
    <row r="5" spans="1:27" s="4" customFormat="1" ht="13.5" customHeight="1" hidden="1">
      <c r="A5" s="91">
        <f>IF(OR(ISBLANK(B11),AND(N3&gt;0.1,ISBLANK(#REF!))),"",A47)</f>
      </c>
      <c r="B5" s="91"/>
      <c r="C5" s="91">
        <f>IF(I17=0,IF(J11=1,C47,""),"")</f>
      </c>
      <c r="D5" s="93">
        <f>IF(OR(ISBLANK(B10),V2&gt;0.1),"",D47)</f>
      </c>
      <c r="E5" s="100"/>
      <c r="F5" s="3"/>
      <c r="G5" s="3"/>
      <c r="H5" s="30" t="s">
        <v>8</v>
      </c>
      <c r="I5" s="71" t="e">
        <f>IF(OR(B12=1.25,B12&gt;1.25),VLOOKUP(B15,$K$9:$L$27,2),IF(AND(B12&gt;1.1,B12&lt;1.25),VLOOKUP(B15,$M$9:$N$27,2),IF(AND(B12&gt;0,OR(B12&lt;1.1,B12=1.1)),VLOOKUP(B15,$O$9:$P$27,2),VLOOKUP(B15,$Q$9:$R$27,2))))</f>
        <v>#N/A</v>
      </c>
      <c r="J5" s="72" t="e">
        <f>IF(OR(C12=1.25,C12&gt;1.25),VLOOKUP(C15,$K$9:$L$27,2),IF(AND(C12&gt;1.1,C12&lt;1.25),VLOOKUP(C15,$M$9:$N$27,2),IF(AND(C12&gt;0,OR(C12&lt;1.1,C12=1.1)),VLOOKUP(C15,$O$9:$P$27,2),VLOOKUP(C15,$Q$9:$R$27,2))))</f>
        <v>#N/A</v>
      </c>
      <c r="K5" s="52" t="s">
        <v>0</v>
      </c>
      <c r="L5" s="34"/>
      <c r="M5" s="46" t="s">
        <v>0</v>
      </c>
      <c r="N5" s="35"/>
      <c r="O5" s="44" t="s">
        <v>0</v>
      </c>
      <c r="P5" s="36">
        <v>7.512617</v>
      </c>
      <c r="Q5" s="43" t="s">
        <v>7</v>
      </c>
      <c r="R5" s="51">
        <v>3.84961</v>
      </c>
      <c r="S5" s="52" t="s">
        <v>0</v>
      </c>
      <c r="T5" s="34"/>
      <c r="U5" s="46" t="s">
        <v>0</v>
      </c>
      <c r="V5" s="35"/>
      <c r="W5" s="44" t="s">
        <v>0</v>
      </c>
      <c r="X5" s="36">
        <v>35.859145</v>
      </c>
      <c r="Y5" s="43" t="s">
        <v>7</v>
      </c>
      <c r="Z5" s="51">
        <v>1.34793</v>
      </c>
      <c r="AA5" s="2"/>
    </row>
    <row r="6" spans="1:26" ht="13.5" customHeight="1">
      <c r="A6" s="91">
        <f>IF(OR(ISBLANK(B10),AND(N4&gt;0.1,ISBLANK(B15))),"","Assessment Surcharge")</f>
      </c>
      <c r="B6" s="91">
        <f>IF(I17=0,IF(OR(ISBLANK(B10),N2&gt;0.1),"",(IF(+B10*0.002&gt;50000,50000,B10*0.002))))</f>
      </c>
      <c r="C6" s="91">
        <f>IF(I17=0,IF(J11=1,IF(+B10*0.002&gt;50000,50000,B10*0.002),""),"")</f>
      </c>
      <c r="D6" s="93">
        <f>IF(OR(ISBLANK(B10),V2&gt;0.1),"",D48)</f>
      </c>
      <c r="E6" s="100"/>
      <c r="F6" s="3"/>
      <c r="G6" s="3"/>
      <c r="H6" s="30" t="s">
        <v>9</v>
      </c>
      <c r="I6" s="71" t="e">
        <f>IF(OR(AND(B13&gt;0,B13&lt;4),B13=4),VLOOKUP(B15,$S$9:$T$27,2),IF(AND(B13&gt;4,B13&lt;6),VLOOKUP(B15,$U$9:$V$27,2),IF(OR(B13="Negative Equity",B13=6,B13&gt;6),VLOOKUP(B15,$W$9:$X$27,2),VLOOKUP(B15,$Y$9:$Z$27,2))))</f>
        <v>#N/A</v>
      </c>
      <c r="J6" s="72" t="e">
        <f>IF(OR(AND(C13&gt;0,C13&lt;4),C13=4),VLOOKUP(C15,$S$9:$T$27,2),IF(AND(C13&gt;4,C13&lt;6),VLOOKUP(C15,$U$9:$V$27,2),IF(OR(C13="Negative Equity",C13=6,C13&gt;6),VLOOKUP(C15,$W$9:$X$27,2),VLOOKUP(C15,$Y$9:$Z$27,2))))</f>
        <v>#N/A</v>
      </c>
      <c r="K6" s="52"/>
      <c r="L6" s="37" t="s">
        <v>1</v>
      </c>
      <c r="M6" s="46"/>
      <c r="N6" s="38" t="s">
        <v>5</v>
      </c>
      <c r="O6" s="44"/>
      <c r="P6" s="39" t="s">
        <v>6</v>
      </c>
      <c r="Q6" s="45"/>
      <c r="R6" s="53">
        <v>0</v>
      </c>
      <c r="S6" s="52"/>
      <c r="T6" s="37" t="s">
        <v>14</v>
      </c>
      <c r="U6" s="46"/>
      <c r="V6" s="38" t="s">
        <v>13</v>
      </c>
      <c r="W6" s="44"/>
      <c r="X6" s="39" t="s">
        <v>15</v>
      </c>
      <c r="Y6" s="45"/>
      <c r="Z6" s="53">
        <v>0</v>
      </c>
    </row>
    <row r="7" spans="1:26" ht="13.5" customHeight="1">
      <c r="A7" s="91">
        <f>IF(OR(ISBLANK(B10),AND(N4&gt;0.1,ISBLANK(B15))),"","Assessment Reduction")</f>
      </c>
      <c r="B7" s="91">
        <f>IF(I17=0,IF(OR(ISBLANK(B10),N2&gt;0.1),"",(IF(B14="yes",(IF((B3+B4)/2&gt;J29,-B3/2-B6/2-B4/2,IF((+B3+B4)&gt;100,+J29-B3-B4-B6/2,-B6/2))),0))))</f>
      </c>
      <c r="C7" s="91">
        <f>IF(I17=0,IF(OR(ISBLANK(B10),V2&gt;0.1),"",(IF(C14="yes",(IF((C3+C4)/2&gt;J29,-C3/2-C6/2-C4/2,IF((+C3+C4)&gt;100,+J29-C3-C4-C6/2,-C6/2))),0))))</f>
      </c>
      <c r="D7" s="93"/>
      <c r="E7" s="100"/>
      <c r="F7" s="3"/>
      <c r="G7" s="3"/>
      <c r="H7" s="30"/>
      <c r="I7" s="71"/>
      <c r="J7" s="72"/>
      <c r="K7" s="52"/>
      <c r="L7" s="141"/>
      <c r="M7" s="46"/>
      <c r="N7" s="142"/>
      <c r="O7" s="44"/>
      <c r="P7" s="143"/>
      <c r="Q7" s="45"/>
      <c r="R7" s="144"/>
      <c r="S7" s="52"/>
      <c r="T7" s="141"/>
      <c r="U7" s="46"/>
      <c r="V7" s="142"/>
      <c r="W7" s="44"/>
      <c r="X7" s="143"/>
      <c r="Y7" s="45"/>
      <c r="Z7" s="144"/>
    </row>
    <row r="8" spans="1:26" ht="13.5" customHeight="1">
      <c r="A8" s="92">
        <f>IF(OR(ISBLANK(B10),N2&gt;0.1),"",A48)</f>
      </c>
      <c r="B8" s="91">
        <f>IF(I17=0,IF(OR(ISBLANK(B10),N2&gt;0.1),"",IF(B48&lt;J29,J29+B6+B7,B48+B6+B7)),"")</f>
      </c>
      <c r="C8" s="91">
        <f>IF(I17=0,IF(OR(ISBLANK(B10),N2&gt;0.1),"",IF(C48&lt;J29,J29+C6+C7,C48+C6+C7)),"")</f>
      </c>
      <c r="D8" s="93"/>
      <c r="E8" s="100"/>
      <c r="F8" s="3"/>
      <c r="G8" s="3"/>
      <c r="H8" s="30"/>
      <c r="I8" s="71"/>
      <c r="J8" s="72"/>
      <c r="K8" s="52"/>
      <c r="L8" s="141"/>
      <c r="M8" s="46"/>
      <c r="N8" s="142"/>
      <c r="O8" s="44"/>
      <c r="P8" s="143"/>
      <c r="Q8" s="45"/>
      <c r="R8" s="144"/>
      <c r="S8" s="52"/>
      <c r="T8" s="141"/>
      <c r="U8" s="46"/>
      <c r="V8" s="142"/>
      <c r="W8" s="44"/>
      <c r="X8" s="143"/>
      <c r="Y8" s="45"/>
      <c r="Z8" s="144"/>
    </row>
    <row r="9" spans="1:26" ht="12.75">
      <c r="A9" s="91">
        <f>IF(ISERROR(IF('Vegetable Contractor Security'!H13=1,"Adjusted Total Assessment (reduced by "&amp;DOLLAR(B8*'Vegetable Contractor Security'!G13)&amp;")","")),"",IF('Vegetable Contractor Security'!H13=1,"Adjusted Total Assessment (reduced by "&amp;DOLLAR(B8*'Vegetable Contractor Security'!G13)&amp;")",""))</f>
      </c>
      <c r="B9" s="91">
        <f>IF(ISERROR(IF('Vegetable Contractor Security'!H13=1,B8*(1-'Vegetable Contractor Security'!G13),"")),"",IF('Vegetable Contractor Security'!H13=1,B8*(1-'Vegetable Contractor Security'!G13),""))</f>
      </c>
      <c r="C9" s="91"/>
      <c r="D9" s="93"/>
      <c r="E9" s="6"/>
      <c r="F9" s="3"/>
      <c r="G9" s="3"/>
      <c r="K9" s="52">
        <v>1</v>
      </c>
      <c r="L9" s="40">
        <v>0.00048</v>
      </c>
      <c r="M9" s="46">
        <v>1</v>
      </c>
      <c r="N9" s="41">
        <v>0.00072</v>
      </c>
      <c r="O9" s="44">
        <v>1</v>
      </c>
      <c r="P9" s="42">
        <f>ROUND(N9*$P$5,6)</f>
        <v>0.005409</v>
      </c>
      <c r="Q9" s="45">
        <v>1</v>
      </c>
      <c r="R9" s="54">
        <f>ROUND(N9*$R$5,6)</f>
        <v>0.002772</v>
      </c>
      <c r="S9" s="52">
        <v>1</v>
      </c>
      <c r="T9" s="40">
        <v>0.000135</v>
      </c>
      <c r="U9" s="46">
        <v>1</v>
      </c>
      <c r="V9" s="41">
        <v>0.000203</v>
      </c>
      <c r="W9" s="44">
        <v>1</v>
      </c>
      <c r="X9" s="42">
        <f>ROUND(V9*$X$5,6)</f>
        <v>0.007279</v>
      </c>
      <c r="Y9" s="45">
        <v>1</v>
      </c>
      <c r="Z9" s="54">
        <f>ROUND(V9*$Z$5,6)</f>
        <v>0.000274</v>
      </c>
    </row>
    <row r="10" spans="1:26" ht="12.75">
      <c r="A10" s="6" t="str">
        <f>IF(ISBLANK(B10),"Enter the Vegetable Contractor's Annual Purchases","Vegetable Contractor's Annual Purchases")</f>
        <v>Enter the Vegetable Contractor's Annual Purchases</v>
      </c>
      <c r="B10" s="25"/>
      <c r="C10" s="148" t="s">
        <v>27</v>
      </c>
      <c r="D10" s="6"/>
      <c r="E10" s="6"/>
      <c r="F10" s="8"/>
      <c r="G10" s="8"/>
      <c r="H10" s="30" t="s">
        <v>10</v>
      </c>
      <c r="I10" s="63">
        <f>IF(OR(ISBLANK(B12),ISBLANK(B15)),,1)</f>
        <v>0</v>
      </c>
      <c r="J10" s="47">
        <f>IF(OR(ISBLANK(C12),ISBLANK(C15)),,1)</f>
        <v>0</v>
      </c>
      <c r="K10" s="52">
        <v>2</v>
      </c>
      <c r="L10" s="40">
        <v>0.00048</v>
      </c>
      <c r="M10" s="46">
        <v>2</v>
      </c>
      <c r="N10" s="41">
        <v>0.00072</v>
      </c>
      <c r="O10" s="44">
        <v>2</v>
      </c>
      <c r="P10" s="42">
        <f aca="true" t="shared" si="0" ref="P10:P27">ROUND(N10*$P$5,6)</f>
        <v>0.005409</v>
      </c>
      <c r="Q10" s="45">
        <v>2</v>
      </c>
      <c r="R10" s="54">
        <f aca="true" t="shared" si="1" ref="R10:R27">ROUND(N10*$R$5,6)</f>
        <v>0.002772</v>
      </c>
      <c r="S10" s="52">
        <v>2</v>
      </c>
      <c r="T10" s="40">
        <v>0.000135</v>
      </c>
      <c r="U10" s="46">
        <v>2</v>
      </c>
      <c r="V10" s="41">
        <v>0.000203</v>
      </c>
      <c r="W10" s="44">
        <v>2</v>
      </c>
      <c r="X10" s="42">
        <f aca="true" t="shared" si="2" ref="X10:X27">ROUND(V10*$X$5,6)</f>
        <v>0.007279</v>
      </c>
      <c r="Y10" s="45">
        <v>2</v>
      </c>
      <c r="Z10" s="54">
        <f aca="true" t="shared" si="3" ref="Z10:Z27">ROUND(V10*$Z$5,6)</f>
        <v>0.000274</v>
      </c>
    </row>
    <row r="11" spans="1:26" ht="12.75" hidden="1">
      <c r="A11" s="6"/>
      <c r="B11" s="139"/>
      <c r="C11" s="7"/>
      <c r="D11" s="6"/>
      <c r="E11" s="6"/>
      <c r="F11" s="8"/>
      <c r="G11" s="8"/>
      <c r="H11" s="30" t="s">
        <v>11</v>
      </c>
      <c r="I11" s="63">
        <f>IF(OR(ISBLANK(B13),ISBLANK(B15)),,1)</f>
        <v>0</v>
      </c>
      <c r="J11" s="47">
        <f>IF(OR(ISBLANK(C13),ISBLANK(C15)),,1)</f>
        <v>0</v>
      </c>
      <c r="K11" s="52">
        <v>3</v>
      </c>
      <c r="L11" s="40">
        <v>0.00048</v>
      </c>
      <c r="M11" s="46">
        <v>3</v>
      </c>
      <c r="N11" s="41">
        <v>0.00072</v>
      </c>
      <c r="O11" s="44">
        <v>3</v>
      </c>
      <c r="P11" s="42">
        <f t="shared" si="0"/>
        <v>0.005409</v>
      </c>
      <c r="Q11" s="45">
        <v>3</v>
      </c>
      <c r="R11" s="54">
        <f t="shared" si="1"/>
        <v>0.002772</v>
      </c>
      <c r="S11" s="52">
        <v>3</v>
      </c>
      <c r="T11" s="40">
        <v>0.000135</v>
      </c>
      <c r="U11" s="46">
        <v>3</v>
      </c>
      <c r="V11" s="41">
        <v>0.000203</v>
      </c>
      <c r="W11" s="44">
        <v>3</v>
      </c>
      <c r="X11" s="42">
        <f t="shared" si="2"/>
        <v>0.007279</v>
      </c>
      <c r="Y11" s="45">
        <v>3</v>
      </c>
      <c r="Z11" s="54">
        <f t="shared" si="3"/>
        <v>0.000274</v>
      </c>
    </row>
    <row r="12" spans="1:26" ht="12.75">
      <c r="A12" s="6" t="str">
        <f>IF(ISBLANK(B12),"Enter the Current Ratio","Current Ratio")</f>
        <v>Enter the Current Ratio</v>
      </c>
      <c r="B12" s="64"/>
      <c r="C12" s="98"/>
      <c r="D12" s="94" t="str">
        <f>IF(ISBLANK(C12),"Enter Current Ratio","Current Ratio")</f>
        <v>Enter Current Ratio</v>
      </c>
      <c r="E12" s="6"/>
      <c r="F12" s="8"/>
      <c r="G12" s="8"/>
      <c r="K12" s="52">
        <v>4</v>
      </c>
      <c r="L12" s="40">
        <v>0.00029</v>
      </c>
      <c r="M12" s="46">
        <v>4</v>
      </c>
      <c r="N12" s="41">
        <v>0.00058</v>
      </c>
      <c r="O12" s="44">
        <v>4</v>
      </c>
      <c r="P12" s="42">
        <f t="shared" si="0"/>
        <v>0.004357</v>
      </c>
      <c r="Q12" s="45">
        <v>4</v>
      </c>
      <c r="R12" s="54">
        <f t="shared" si="1"/>
        <v>0.002233</v>
      </c>
      <c r="S12" s="52">
        <v>4</v>
      </c>
      <c r="T12" s="40">
        <v>8E-05</v>
      </c>
      <c r="U12" s="46">
        <v>4</v>
      </c>
      <c r="V12" s="41">
        <v>0.00016</v>
      </c>
      <c r="W12" s="44">
        <v>4</v>
      </c>
      <c r="X12" s="42">
        <f t="shared" si="2"/>
        <v>0.005737</v>
      </c>
      <c r="Y12" s="45">
        <v>4</v>
      </c>
      <c r="Z12" s="54">
        <f t="shared" si="3"/>
        <v>0.000216</v>
      </c>
    </row>
    <row r="13" spans="1:26" ht="12.75">
      <c r="A13" s="6" t="str">
        <f>IF(ISBLANK(B13),"Enter the Debt to Equity Ratio","Debt to Equity Ratio")</f>
        <v>Enter the Debt to Equity Ratio</v>
      </c>
      <c r="B13" s="64"/>
      <c r="C13" s="98"/>
      <c r="D13" s="95" t="str">
        <f>IF(ISBLANK(C13),"Enter Debt to Equity Ratio","Debt to Equity Ratio")</f>
        <v>Enter Debt to Equity Ratio</v>
      </c>
      <c r="E13" s="6"/>
      <c r="F13" s="8"/>
      <c r="G13" s="8"/>
      <c r="H13" s="29" t="str">
        <f>IF(I13=1,"A financial statement is required.","No financial statement is required.")</f>
        <v>No financial statement is required.</v>
      </c>
      <c r="I13" s="73">
        <f>IF(B10&gt;500000,1,)</f>
        <v>0</v>
      </c>
      <c r="J13" s="47">
        <f>IF(AND(B10&gt;500000,V2=0),1,)</f>
        <v>0</v>
      </c>
      <c r="K13" s="52">
        <v>5</v>
      </c>
      <c r="L13" s="40">
        <v>0.00029</v>
      </c>
      <c r="M13" s="46">
        <v>5</v>
      </c>
      <c r="N13" s="41">
        <v>0.00058</v>
      </c>
      <c r="O13" s="44">
        <v>5</v>
      </c>
      <c r="P13" s="42">
        <f t="shared" si="0"/>
        <v>0.004357</v>
      </c>
      <c r="Q13" s="45">
        <v>5</v>
      </c>
      <c r="R13" s="54">
        <f t="shared" si="1"/>
        <v>0.002233</v>
      </c>
      <c r="S13" s="52">
        <v>5</v>
      </c>
      <c r="T13" s="40">
        <v>8E-05</v>
      </c>
      <c r="U13" s="46">
        <v>5</v>
      </c>
      <c r="V13" s="41">
        <v>0.00016</v>
      </c>
      <c r="W13" s="44">
        <v>5</v>
      </c>
      <c r="X13" s="42">
        <f t="shared" si="2"/>
        <v>0.005737</v>
      </c>
      <c r="Y13" s="45">
        <v>5</v>
      </c>
      <c r="Z13" s="54">
        <f t="shared" si="3"/>
        <v>0.000216</v>
      </c>
    </row>
    <row r="14" spans="1:26" ht="25.5">
      <c r="A14" s="149" t="s">
        <v>28</v>
      </c>
      <c r="B14" s="64"/>
      <c r="C14" s="98"/>
      <c r="D14" s="95"/>
      <c r="E14" s="6"/>
      <c r="F14" s="8"/>
      <c r="G14" s="8"/>
      <c r="I14" s="140"/>
      <c r="J14" s="145"/>
      <c r="K14" s="52"/>
      <c r="L14" s="40"/>
      <c r="M14" s="46"/>
      <c r="N14" s="41"/>
      <c r="O14" s="44"/>
      <c r="P14" s="42"/>
      <c r="Q14" s="45"/>
      <c r="R14" s="54"/>
      <c r="S14" s="52"/>
      <c r="T14" s="40"/>
      <c r="U14" s="46"/>
      <c r="V14" s="41"/>
      <c r="W14" s="44"/>
      <c r="X14" s="42"/>
      <c r="Y14" s="45"/>
      <c r="Z14" s="54"/>
    </row>
    <row r="15" spans="1:26" ht="12.75">
      <c r="A15" s="6" t="str">
        <f>IF(ISBLANK(B15),"Enter Years of Consecutive Participation (include current year)","Years of Consecutive Participation - including this year")</f>
        <v>Enter Years of Consecutive Participation (include current year)</v>
      </c>
      <c r="B15" s="65"/>
      <c r="C15" s="99"/>
      <c r="D15" s="94" t="str">
        <f>IF(ISBLANK(C15),"Enter Years of Consecutive Participation (include current year)","Years of Consecutive Participation - including this year")</f>
        <v>Enter Years of Consecutive Participation (include current year)</v>
      </c>
      <c r="E15" s="6"/>
      <c r="F15" s="8"/>
      <c r="G15" s="8"/>
      <c r="H15" s="90" t="str">
        <f>IF(J13=1,"A financial statement is required.","No financial statement is required.")</f>
        <v>No financial statement is required.</v>
      </c>
      <c r="K15" s="52">
        <v>6</v>
      </c>
      <c r="L15" s="40">
        <v>0</v>
      </c>
      <c r="M15" s="46">
        <v>6</v>
      </c>
      <c r="N15" s="41">
        <v>0.00035</v>
      </c>
      <c r="O15" s="44">
        <v>6</v>
      </c>
      <c r="P15" s="42">
        <f t="shared" si="0"/>
        <v>0.002629</v>
      </c>
      <c r="Q15" s="45">
        <v>6</v>
      </c>
      <c r="R15" s="54">
        <f t="shared" si="1"/>
        <v>0.001347</v>
      </c>
      <c r="S15" s="52">
        <v>6</v>
      </c>
      <c r="T15" s="40">
        <v>0</v>
      </c>
      <c r="U15" s="46">
        <v>6</v>
      </c>
      <c r="V15" s="41">
        <v>0.0001</v>
      </c>
      <c r="W15" s="44">
        <v>6</v>
      </c>
      <c r="X15" s="42">
        <f t="shared" si="2"/>
        <v>0.003586</v>
      </c>
      <c r="Y15" s="45">
        <v>6</v>
      </c>
      <c r="Z15" s="54">
        <f t="shared" si="3"/>
        <v>0.000135</v>
      </c>
    </row>
    <row r="16" spans="1:26" ht="12.75" customHeight="1">
      <c r="A16" s="170">
        <f>IF(OR(I1=1,I2=1,I3=1),"Go To 'Vegetable Contractor Security' Worksheet","")</f>
      </c>
      <c r="B16" s="171"/>
      <c r="C16" s="170">
        <f>IF(V2=0,IF(OR(AND(C15=1,C13="Negative Equity"),AND(C15&gt;1,OR(C13="Negative Equity",C12&lt;1.25,C13&gt;4))),"Go To 'Vegetable Contractor Security (2)' Worksheet",""),"")</f>
      </c>
      <c r="D16" s="171"/>
      <c r="E16" s="6"/>
      <c r="F16" s="8"/>
      <c r="G16" s="8"/>
      <c r="K16" s="52">
        <v>7</v>
      </c>
      <c r="L16" s="40">
        <v>0</v>
      </c>
      <c r="M16" s="46">
        <v>7</v>
      </c>
      <c r="N16" s="41">
        <v>0.00035</v>
      </c>
      <c r="O16" s="44">
        <v>7</v>
      </c>
      <c r="P16" s="42">
        <f t="shared" si="0"/>
        <v>0.002629</v>
      </c>
      <c r="Q16" s="45">
        <v>7</v>
      </c>
      <c r="R16" s="54">
        <f t="shared" si="1"/>
        <v>0.001347</v>
      </c>
      <c r="S16" s="52">
        <v>7</v>
      </c>
      <c r="T16" s="40">
        <v>0</v>
      </c>
      <c r="U16" s="46">
        <v>7</v>
      </c>
      <c r="V16" s="41">
        <v>0.0001</v>
      </c>
      <c r="W16" s="44">
        <v>7</v>
      </c>
      <c r="X16" s="42">
        <f t="shared" si="2"/>
        <v>0.003586</v>
      </c>
      <c r="Y16" s="45">
        <v>7</v>
      </c>
      <c r="Z16" s="54">
        <f t="shared" si="3"/>
        <v>0.000135</v>
      </c>
    </row>
    <row r="17" spans="1:26" ht="19.5" customHeight="1">
      <c r="A17" s="129"/>
      <c r="B17" s="174">
        <f>H22</f>
      </c>
      <c r="C17" s="174">
        <f>IF(V2=0,H25,"")</f>
      </c>
      <c r="D17" s="6"/>
      <c r="E17" s="6"/>
      <c r="F17" s="8"/>
      <c r="G17" s="8"/>
      <c r="H17" s="29">
        <f>A11</f>
        <v>0</v>
      </c>
      <c r="I17" s="73">
        <f>IF(H17="Cannot Be Greater than Annual Purchases",1,)</f>
        <v>0</v>
      </c>
      <c r="K17" s="52">
        <v>8</v>
      </c>
      <c r="L17" s="40">
        <v>0</v>
      </c>
      <c r="M17" s="46">
        <v>8</v>
      </c>
      <c r="N17" s="41">
        <v>0.00035</v>
      </c>
      <c r="O17" s="44">
        <v>8</v>
      </c>
      <c r="P17" s="42">
        <f t="shared" si="0"/>
        <v>0.002629</v>
      </c>
      <c r="Q17" s="45">
        <v>8</v>
      </c>
      <c r="R17" s="54">
        <f t="shared" si="1"/>
        <v>0.001347</v>
      </c>
      <c r="S17" s="52">
        <v>8</v>
      </c>
      <c r="T17" s="40">
        <v>0</v>
      </c>
      <c r="U17" s="46">
        <v>8</v>
      </c>
      <c r="V17" s="41">
        <v>0.0001</v>
      </c>
      <c r="W17" s="44">
        <v>8</v>
      </c>
      <c r="X17" s="42">
        <f t="shared" si="2"/>
        <v>0.003586</v>
      </c>
      <c r="Y17" s="45">
        <v>8</v>
      </c>
      <c r="Z17" s="54">
        <f t="shared" si="3"/>
        <v>0.000135</v>
      </c>
    </row>
    <row r="18" spans="1:26" ht="19.5" customHeight="1">
      <c r="A18" s="27">
        <f>IF(AND(N2&gt;0.1,ISBLANK(B12)),"","Current Ratio Assessment   "&amp;IF(OR(B12=1.25,B12&gt;1.25),"126.60(2)(a), Stats.",IF(AND(B12&lt;1.25,B12&gt;1.1),"126.60(2)(b), Stats.",IF(AND(B12&gt;0,OR(B12&lt;1.1,B12=1.1)),"126.60(2)(c), Stats.",IF(B12=0,"126.60(2)(d), Stats.","")))))</f>
      </c>
      <c r="B18" s="174"/>
      <c r="C18" s="174"/>
      <c r="D18" s="94">
        <f>IF(AND(V2&gt;0.1,ISBLANK(C12)),"","Current Ratio Assessment   "&amp;IF(OR(C12=1.25,C12&gt;1.25),"126.60(2)(a), Stats.",IF(AND(C12&lt;1.25,C12&gt;1.1),"126.60(2)(b), Stats.",IF(AND(C12&gt;0,OR(C12&lt;1.1,C12=1.1)),"126.60(2)(c), Stats.",IF(C12=0,"126.60(2)(d), Stats.","")))))</f>
      </c>
      <c r="E18" s="6"/>
      <c r="F18" s="8"/>
      <c r="G18" s="8"/>
      <c r="K18" s="52">
        <v>9</v>
      </c>
      <c r="L18" s="40">
        <v>0</v>
      </c>
      <c r="M18" s="46">
        <v>9</v>
      </c>
      <c r="N18" s="41">
        <v>0.00035</v>
      </c>
      <c r="O18" s="44">
        <v>9</v>
      </c>
      <c r="P18" s="42">
        <f t="shared" si="0"/>
        <v>0.002629</v>
      </c>
      <c r="Q18" s="45">
        <v>9</v>
      </c>
      <c r="R18" s="54">
        <f t="shared" si="1"/>
        <v>0.001347</v>
      </c>
      <c r="S18" s="52">
        <v>9</v>
      </c>
      <c r="T18" s="40">
        <v>0</v>
      </c>
      <c r="U18" s="46">
        <v>9</v>
      </c>
      <c r="V18" s="41">
        <v>0.0001</v>
      </c>
      <c r="W18" s="44">
        <v>9</v>
      </c>
      <c r="X18" s="42">
        <f t="shared" si="2"/>
        <v>0.003586</v>
      </c>
      <c r="Y18" s="45">
        <v>9</v>
      </c>
      <c r="Z18" s="54">
        <f t="shared" si="3"/>
        <v>0.000135</v>
      </c>
    </row>
    <row r="19" spans="1:26" ht="19.5" customHeight="1">
      <c r="A19" s="26">
        <f>IF(AND(N2&gt;0.1,ISBLANK(B12)),"",IF(OR(B12=1.25,B12&gt;1.25),"The current ratio is at least 1.25:1.",IF(AND(B12&lt;1.25,B12&gt;1.1),"The current ratio is greater than 1.1:1 but less than 1.25:1.",IF(AND(B12&gt;0,OR(B12&lt;1.1,B12=1.1)),"The current ratio is less than or equal to 1.1:1.",IF(B12=0,"No financial statement.","")))))</f>
      </c>
      <c r="B19" s="174"/>
      <c r="C19" s="174"/>
      <c r="D19" s="94">
        <f>IF(AND(V2&gt;0.1,ISBLANK(C12)),"",IF(OR(C12=1.25,C12&gt;1.25),"The current ratio is at least 1.25:1.",IF(AND(C12&lt;1.25,C12&gt;1.1),"The current ratio is greater than 1.1:1 but less than 1.25:1.",IF(AND(C12&gt;0,OR(C12&lt;1.1,C12=1.1)),"The current ratio is less than or equal to 1.1:1.",IF(C12=0,"No financial statement.","")))))</f>
      </c>
      <c r="E19" s="6"/>
      <c r="F19" s="76">
        <f>IF(F20&gt;1.1,1,)</f>
        <v>0</v>
      </c>
      <c r="G19" s="76">
        <f>IF(G20&gt;1.1,1,)</f>
        <v>0</v>
      </c>
      <c r="H19" s="78"/>
      <c r="K19" s="52">
        <v>10</v>
      </c>
      <c r="L19" s="40">
        <v>0</v>
      </c>
      <c r="M19" s="46">
        <v>10</v>
      </c>
      <c r="N19" s="41">
        <v>0.00035</v>
      </c>
      <c r="O19" s="44">
        <v>10</v>
      </c>
      <c r="P19" s="42">
        <f t="shared" si="0"/>
        <v>0.002629</v>
      </c>
      <c r="Q19" s="45">
        <v>10</v>
      </c>
      <c r="R19" s="54">
        <f t="shared" si="1"/>
        <v>0.001347</v>
      </c>
      <c r="S19" s="52">
        <v>10</v>
      </c>
      <c r="T19" s="40">
        <v>0</v>
      </c>
      <c r="U19" s="46">
        <v>10</v>
      </c>
      <c r="V19" s="41">
        <v>0.0001</v>
      </c>
      <c r="W19" s="44">
        <v>10</v>
      </c>
      <c r="X19" s="42">
        <f t="shared" si="2"/>
        <v>0.003586</v>
      </c>
      <c r="Y19" s="45">
        <v>10</v>
      </c>
      <c r="Z19" s="54">
        <f t="shared" si="3"/>
        <v>0.000135</v>
      </c>
    </row>
    <row r="20" spans="1:26" ht="12.75">
      <c r="A20" s="67">
        <f>IF(AND(N2&gt;0.1,ISBLANK(B12)),"","Current Ratio")</f>
      </c>
      <c r="B20" s="68">
        <f>IF(I10=1,IF(F20=0,"  No F. S. rate",F20),"")</f>
      </c>
      <c r="C20" s="68">
        <f>IF(J10=1,IF(G20=0,"  No F. S. rate",G20),"")</f>
      </c>
      <c r="D20" s="94">
        <f>IF(AND(V2&gt;0.1,ISBLANK(C12)),"","Current Ratio")</f>
      </c>
      <c r="E20" s="6"/>
      <c r="F20" s="77">
        <f>B12</f>
        <v>0</v>
      </c>
      <c r="G20" s="77">
        <f>C12</f>
        <v>0</v>
      </c>
      <c r="J20" s="8"/>
      <c r="K20" s="52">
        <v>11</v>
      </c>
      <c r="L20" s="40">
        <v>0</v>
      </c>
      <c r="M20" s="46">
        <v>11</v>
      </c>
      <c r="N20" s="41">
        <v>0.00035</v>
      </c>
      <c r="O20" s="44">
        <v>11</v>
      </c>
      <c r="P20" s="42">
        <f t="shared" si="0"/>
        <v>0.002629</v>
      </c>
      <c r="Q20" s="45">
        <v>11</v>
      </c>
      <c r="R20" s="54">
        <f t="shared" si="1"/>
        <v>0.001347</v>
      </c>
      <c r="S20" s="52">
        <v>11</v>
      </c>
      <c r="T20" s="40">
        <v>0</v>
      </c>
      <c r="U20" s="46">
        <v>11</v>
      </c>
      <c r="V20" s="41">
        <v>0.0001</v>
      </c>
      <c r="W20" s="44">
        <v>11</v>
      </c>
      <c r="X20" s="42">
        <f t="shared" si="2"/>
        <v>0.003586</v>
      </c>
      <c r="Y20" s="45">
        <v>11</v>
      </c>
      <c r="Z20" s="54">
        <f t="shared" si="3"/>
        <v>0.000135</v>
      </c>
    </row>
    <row r="21" spans="1:26" ht="12.75">
      <c r="A21" s="69">
        <f>IF(AND(I10=0,ISBLANK(B12)),"",IF(B12&gt;1.1,"1) Subtract 4 from the current ratio.","10) Multiply "&amp;IF(AND(OR(B12&lt;1.1,B12=1.1),B12&gt;0),TEXT(P5,"#0.000000"),TEXT(R5,"#0.000000"))&amp;" x "&amp;IF(ISBLANK(B15),"____",TEXT(VLOOKUP(B15,$M$9:$N$27,2),"0.000000"))&amp;". "&amp;H21))</f>
      </c>
      <c r="B21" s="68">
        <f>IF(I10=1,IF(F21=0,"",F21),"")</f>
      </c>
      <c r="C21" s="68">
        <f>IF(J10=1,IF(G21=0,"",G21),"")</f>
      </c>
      <c r="D21" s="94">
        <f>IF(AND(J10=0,ISBLANK(C12)),"",IF(C12&gt;1.1,"1) Subtract 4 from the current ratio.","10) Multiply "&amp;IF(AND(OR(C12&lt;1.1,C12=1.1),C12&gt;0),TEXT(P5,"#0.000000"),TEXT(R5,"#0.000000"))&amp;" x "&amp;IF(ISBLANK(C15),"____",TEXT(VLOOKUP(C15,$M$9:$N$27,2),"0.000000"))&amp;". "&amp;H24))</f>
      </c>
      <c r="E21" s="6"/>
      <c r="F21" s="79" t="e">
        <f>ROUND(IF(F19=1,F20-4,I5),6)</f>
        <v>#N/A</v>
      </c>
      <c r="G21" s="79" t="e">
        <f>ROUND(IF(G19=1,G20-4,J5),6)</f>
        <v>#N/A</v>
      </c>
      <c r="H21" s="33" t="str">
        <f>IF(AND(I13=0,B12=0),"No-financial-statement assessment rate.","This is the assessment rate.")</f>
        <v>No-financial-statement assessment rate.</v>
      </c>
      <c r="J21" s="8"/>
      <c r="K21" s="52">
        <v>12</v>
      </c>
      <c r="L21" s="40">
        <v>0</v>
      </c>
      <c r="M21" s="46">
        <v>12</v>
      </c>
      <c r="N21" s="41">
        <v>0.00035</v>
      </c>
      <c r="O21" s="44">
        <v>12</v>
      </c>
      <c r="P21" s="42">
        <f t="shared" si="0"/>
        <v>0.002629</v>
      </c>
      <c r="Q21" s="45">
        <v>12</v>
      </c>
      <c r="R21" s="54">
        <f t="shared" si="1"/>
        <v>0.001347</v>
      </c>
      <c r="S21" s="52">
        <v>12</v>
      </c>
      <c r="T21" s="40">
        <v>0</v>
      </c>
      <c r="U21" s="46">
        <v>12</v>
      </c>
      <c r="V21" s="41">
        <v>0.0001</v>
      </c>
      <c r="W21" s="44">
        <v>12</v>
      </c>
      <c r="X21" s="42">
        <f t="shared" si="2"/>
        <v>0.003586</v>
      </c>
      <c r="Y21" s="45">
        <v>12</v>
      </c>
      <c r="Z21" s="54">
        <f t="shared" si="3"/>
        <v>0.000135</v>
      </c>
    </row>
    <row r="22" spans="1:26" ht="12.75">
      <c r="A22" s="69">
        <f>IF(B12&gt;1.1,"2) Divide (1) by 2.","")</f>
      </c>
      <c r="B22" s="68">
        <f>IF(I10=1,IF(F22=0,"",F22),"")</f>
      </c>
      <c r="C22" s="68">
        <f>IF(J10=1,IF(G22=0,"",G22),"")</f>
      </c>
      <c r="D22" s="94">
        <f>IF(C12&gt;1.1,"2) Divide (1) by 2.","")</f>
      </c>
      <c r="E22" s="6"/>
      <c r="F22" s="79">
        <f>ROUND(IF(F19=1,F21/2,),6)</f>
        <v>0</v>
      </c>
      <c r="G22" s="79">
        <f>ROUND(IF(G19=1,G21/2,),6)</f>
        <v>0</v>
      </c>
      <c r="H22" s="33">
        <f>IF(AND(ISNUMBER(B12),B12=0,ISNUMBER(B13),B13=0,I13=1),H13,IF(AND(ISNUMBER(B12),B12=0,OR(AND(ISNUMBER(B13),B13&gt;0),B13="Negative Equity")),"Please enter a current ratio greater than zero, or enter a debt to equity ratio of ZERO.",IF(AND(ISNUMBER(B13),B13=0,OR(AND(ISNUMBER(B12),B12&gt;0))),"Please enter a debt to equity ratio greater than zero, or enter a current ratio of ZERO.","")))</f>
      </c>
      <c r="J22" s="8"/>
      <c r="K22" s="52">
        <v>13</v>
      </c>
      <c r="L22" s="40">
        <v>0</v>
      </c>
      <c r="M22" s="46">
        <v>13</v>
      </c>
      <c r="N22" s="41">
        <v>0.00035</v>
      </c>
      <c r="O22" s="44">
        <v>13</v>
      </c>
      <c r="P22" s="42">
        <f t="shared" si="0"/>
        <v>0.002629</v>
      </c>
      <c r="Q22" s="45">
        <v>13</v>
      </c>
      <c r="R22" s="54">
        <f t="shared" si="1"/>
        <v>0.001347</v>
      </c>
      <c r="S22" s="52">
        <v>13</v>
      </c>
      <c r="T22" s="40">
        <v>0</v>
      </c>
      <c r="U22" s="46">
        <v>13</v>
      </c>
      <c r="V22" s="41">
        <v>0.0001</v>
      </c>
      <c r="W22" s="44">
        <v>13</v>
      </c>
      <c r="X22" s="42">
        <f t="shared" si="2"/>
        <v>0.003586</v>
      </c>
      <c r="Y22" s="45">
        <v>13</v>
      </c>
      <c r="Z22" s="54">
        <f t="shared" si="3"/>
        <v>0.000135</v>
      </c>
    </row>
    <row r="23" spans="1:26" ht="12.75">
      <c r="A23" s="69">
        <f>IF(B12&gt;1.1,"3) Multiply (2) by -1.","")</f>
      </c>
      <c r="B23" s="68">
        <f>IF(I10=1,IF(F23=0,"",F23),"")</f>
      </c>
      <c r="C23" s="68">
        <f>IF(J10=1,IF(G23=0,"",G23),"")</f>
      </c>
      <c r="D23" s="94">
        <f>IF(C12&gt;1.1,"3) Multiply (2) by -1.","")</f>
      </c>
      <c r="E23" s="6"/>
      <c r="F23" s="79">
        <f>ROUND(IF(F19=1,F22*-1,),6)</f>
        <v>0</v>
      </c>
      <c r="G23" s="79">
        <f>ROUND(IF(G19=1,G22*-1,),6)</f>
        <v>0</v>
      </c>
      <c r="J23" s="8"/>
      <c r="K23" s="52">
        <v>14</v>
      </c>
      <c r="L23" s="40">
        <v>0</v>
      </c>
      <c r="M23" s="46">
        <v>14</v>
      </c>
      <c r="N23" s="41">
        <v>0.00035</v>
      </c>
      <c r="O23" s="44">
        <v>14</v>
      </c>
      <c r="P23" s="42">
        <f t="shared" si="0"/>
        <v>0.002629</v>
      </c>
      <c r="Q23" s="45">
        <v>14</v>
      </c>
      <c r="R23" s="54">
        <f t="shared" si="1"/>
        <v>0.001347</v>
      </c>
      <c r="S23" s="52">
        <v>14</v>
      </c>
      <c r="T23" s="40">
        <v>0</v>
      </c>
      <c r="U23" s="46">
        <v>14</v>
      </c>
      <c r="V23" s="41">
        <v>0.0001</v>
      </c>
      <c r="W23" s="44">
        <v>14</v>
      </c>
      <c r="X23" s="42">
        <f t="shared" si="2"/>
        <v>0.003586</v>
      </c>
      <c r="Y23" s="45">
        <v>14</v>
      </c>
      <c r="Z23" s="54">
        <f t="shared" si="3"/>
        <v>0.000135</v>
      </c>
    </row>
    <row r="24" spans="1:26" ht="12.75">
      <c r="A24" s="69">
        <f>IF(B12&gt;1.1,"4) Raise (3) to 3rd power.","")</f>
      </c>
      <c r="B24" s="68">
        <f>IF(I10=1,IF(F24=0,"",F24),"")</f>
      </c>
      <c r="C24" s="68">
        <f>IF(J10=1,IF(G24=0,"",G24),"")</f>
      </c>
      <c r="D24" s="94">
        <f>IF(C12&gt;1.1,"4) Raise (3) to 3rd power.","")</f>
      </c>
      <c r="E24" s="6"/>
      <c r="F24" s="79">
        <f>ROUND(IF(F19=1,F23^3,),6)</f>
        <v>0</v>
      </c>
      <c r="G24" s="79">
        <f>ROUND(IF(G19=1,G23^3,),6)</f>
        <v>0</v>
      </c>
      <c r="H24" s="85" t="str">
        <f>IF(AND(I13=0,C12=0),"No-financial-statement assessment rate.","This is the assessment rate.")</f>
        <v>No-financial-statement assessment rate.</v>
      </c>
      <c r="I24" s="30"/>
      <c r="J24" s="8"/>
      <c r="K24" s="52">
        <v>15</v>
      </c>
      <c r="L24" s="40">
        <v>0</v>
      </c>
      <c r="M24" s="46">
        <v>15</v>
      </c>
      <c r="N24" s="41">
        <v>0.00035</v>
      </c>
      <c r="O24" s="44">
        <v>15</v>
      </c>
      <c r="P24" s="42">
        <f t="shared" si="0"/>
        <v>0.002629</v>
      </c>
      <c r="Q24" s="45">
        <v>15</v>
      </c>
      <c r="R24" s="54">
        <f t="shared" si="1"/>
        <v>0.001347</v>
      </c>
      <c r="S24" s="52">
        <v>15</v>
      </c>
      <c r="T24" s="40">
        <v>0</v>
      </c>
      <c r="U24" s="46">
        <v>15</v>
      </c>
      <c r="V24" s="41">
        <v>0.0001</v>
      </c>
      <c r="W24" s="44">
        <v>15</v>
      </c>
      <c r="X24" s="42">
        <f t="shared" si="2"/>
        <v>0.003586</v>
      </c>
      <c r="Y24" s="45">
        <v>15</v>
      </c>
      <c r="Z24" s="54">
        <f t="shared" si="3"/>
        <v>0.000135</v>
      </c>
    </row>
    <row r="25" spans="1:26" ht="12.75">
      <c r="A25" s="69">
        <f>IF(B12&gt;1.1,"5) Subtract 0.65 from the current ratio.","")</f>
      </c>
      <c r="B25" s="68">
        <f>IF(I10=1,IF(F25=0,"",F25),"")</f>
      </c>
      <c r="C25" s="68">
        <f>IF(J10=1,IF(G25=0,"",G25),"")</f>
      </c>
      <c r="D25" s="94">
        <f>IF(C12&gt;1.1,"5) Subtract 0.65 from the current ratio.","")</f>
      </c>
      <c r="E25" s="6"/>
      <c r="F25" s="79">
        <f>ROUND(IF(F19=1,F20-0.65,),6)</f>
        <v>0</v>
      </c>
      <c r="G25" s="79">
        <f>ROUND(IF(G19=1,G20-0.65,),6)</f>
        <v>0</v>
      </c>
      <c r="H25" s="85">
        <f>IF(AND(ISNUMBER(C12),C12=0,ISNUMBER(C13),C13=0,B10&gt;500000),"A financial statement is required.",IF(AND(ISNUMBER(C12),C12=0,OR(AND(ISNUMBER(C13),C13&gt;0),C13="Negative Equity")),"Please enter a current ratio greater than zero"&amp;IF(I13=1,".",", or enter a debt to equity ratio of ZERO."),IF(AND(ISNUMBER(C13),C13=0,OR(AND(ISNUMBER(C12),C12&gt;0))),"Please enter a debt to equity ratio greater than zero"&amp;IF(I13=1,".",", or enter a current ratio of ZERO."),IF(I13=1,IF(J13=0,H15,""),""))))</f>
      </c>
      <c r="I25" s="30"/>
      <c r="J25" s="8"/>
      <c r="K25" s="52">
        <v>16</v>
      </c>
      <c r="L25" s="40">
        <v>0</v>
      </c>
      <c r="M25" s="46">
        <v>16</v>
      </c>
      <c r="N25" s="41">
        <v>0.00035</v>
      </c>
      <c r="O25" s="44">
        <v>16</v>
      </c>
      <c r="P25" s="42">
        <f t="shared" si="0"/>
        <v>0.002629</v>
      </c>
      <c r="Q25" s="45">
        <v>16</v>
      </c>
      <c r="R25" s="54">
        <f t="shared" si="1"/>
        <v>0.001347</v>
      </c>
      <c r="S25" s="52">
        <v>16</v>
      </c>
      <c r="T25" s="40">
        <v>0</v>
      </c>
      <c r="U25" s="46">
        <v>16</v>
      </c>
      <c r="V25" s="41">
        <v>0.0001</v>
      </c>
      <c r="W25" s="44">
        <v>16</v>
      </c>
      <c r="X25" s="42">
        <f t="shared" si="2"/>
        <v>0.003586</v>
      </c>
      <c r="Y25" s="45">
        <v>16</v>
      </c>
      <c r="Z25" s="54">
        <f t="shared" si="3"/>
        <v>0.000135</v>
      </c>
    </row>
    <row r="26" spans="1:26" ht="12.75">
      <c r="A26" s="69">
        <f>IF(B12&gt;1.1,"6) Divide 0.60 by (5).","")</f>
      </c>
      <c r="B26" s="68">
        <f>IF(I10=1,IF(F26=0,"",F26),"")</f>
      </c>
      <c r="C26" s="68">
        <f>IF(J10=1,IF(G26=0,"",G26),"")</f>
      </c>
      <c r="D26" s="94">
        <f>IF(C12&gt;1.1,"6) Divide 0.60 by (5).","")</f>
      </c>
      <c r="E26" s="6"/>
      <c r="F26" s="79">
        <f>ROUND(IF(F19=1,0.6/F25,),6)</f>
        <v>0</v>
      </c>
      <c r="G26" s="79">
        <f>ROUND(IF(G19=1,0.6/G25,),6)</f>
        <v>0</v>
      </c>
      <c r="H26" s="30"/>
      <c r="I26" s="30"/>
      <c r="J26" s="8"/>
      <c r="K26" s="52">
        <v>17</v>
      </c>
      <c r="L26" s="40">
        <v>0</v>
      </c>
      <c r="M26" s="46">
        <v>17</v>
      </c>
      <c r="N26" s="41">
        <v>0.00035</v>
      </c>
      <c r="O26" s="44">
        <v>17</v>
      </c>
      <c r="P26" s="42">
        <f t="shared" si="0"/>
        <v>0.002629</v>
      </c>
      <c r="Q26" s="45">
        <v>17</v>
      </c>
      <c r="R26" s="54">
        <f t="shared" si="1"/>
        <v>0.001347</v>
      </c>
      <c r="S26" s="52">
        <v>17</v>
      </c>
      <c r="T26" s="40">
        <v>0</v>
      </c>
      <c r="U26" s="46">
        <v>17</v>
      </c>
      <c r="V26" s="41">
        <v>0.0001</v>
      </c>
      <c r="W26" s="44">
        <v>17</v>
      </c>
      <c r="X26" s="42">
        <f t="shared" si="2"/>
        <v>0.003586</v>
      </c>
      <c r="Y26" s="45">
        <v>17</v>
      </c>
      <c r="Z26" s="54">
        <f t="shared" si="3"/>
        <v>0.000135</v>
      </c>
    </row>
    <row r="27" spans="1:26" ht="13.5" thickBot="1">
      <c r="A27" s="69">
        <f>IF(B12&gt;1.1,"7) Raise (6) to 5th power.","")</f>
      </c>
      <c r="B27" s="68">
        <f>IF(I10=1,IF(F27=0,"",F27),"")</f>
      </c>
      <c r="C27" s="68">
        <f>IF(J10=1,IF(G27=0,"",G27),"")</f>
      </c>
      <c r="D27" s="94">
        <f>IF(C12&gt;1.1,"7) Raise (6) to 5th power.","")</f>
      </c>
      <c r="E27" s="6"/>
      <c r="F27" s="79">
        <f>ROUND(IF(F19=1,F26^5,),6)</f>
        <v>0</v>
      </c>
      <c r="G27" s="79">
        <f>ROUND(IF(G19=1,G26^5,),6)</f>
        <v>0</v>
      </c>
      <c r="H27" s="30"/>
      <c r="I27" s="30"/>
      <c r="K27" s="55">
        <v>18</v>
      </c>
      <c r="L27" s="56">
        <v>0</v>
      </c>
      <c r="M27" s="57">
        <v>18</v>
      </c>
      <c r="N27" s="58">
        <v>0.00035</v>
      </c>
      <c r="O27" s="59">
        <v>18</v>
      </c>
      <c r="P27" s="60">
        <f t="shared" si="0"/>
        <v>0.002629</v>
      </c>
      <c r="Q27" s="61">
        <v>18</v>
      </c>
      <c r="R27" s="62">
        <f t="shared" si="1"/>
        <v>0.001347</v>
      </c>
      <c r="S27" s="55">
        <v>18</v>
      </c>
      <c r="T27" s="56">
        <v>0</v>
      </c>
      <c r="U27" s="57">
        <v>18</v>
      </c>
      <c r="V27" s="58">
        <v>0.0001</v>
      </c>
      <c r="W27" s="59">
        <v>18</v>
      </c>
      <c r="X27" s="60">
        <f t="shared" si="2"/>
        <v>0.003586</v>
      </c>
      <c r="Y27" s="61">
        <v>18</v>
      </c>
      <c r="Z27" s="62">
        <f t="shared" si="3"/>
        <v>0.000135</v>
      </c>
    </row>
    <row r="28" spans="1:18" ht="13.5" thickTop="1">
      <c r="A28" s="69">
        <f>IF(B12&gt;1.1,"8) Add (4) to (7).","")</f>
      </c>
      <c r="B28" s="68">
        <f>IF(I10=1,IF(F28=0,"",F28),"")</f>
      </c>
      <c r="C28" s="68">
        <f>IF(J10=1,IF(G28=0,"",G28),"")</f>
      </c>
      <c r="D28" s="94">
        <f>IF(C12&gt;1.1,"8) Add (4) to (7).","")</f>
      </c>
      <c r="E28" s="6"/>
      <c r="F28" s="79">
        <f>ROUND(IF(F19=1,F27+F24,),6)</f>
        <v>0</v>
      </c>
      <c r="G28" s="79">
        <f>ROUND(IF(G19=1,G27+G24,),6)</f>
        <v>0</v>
      </c>
      <c r="J28" s="14"/>
      <c r="K28" s="15"/>
      <c r="L28" s="16"/>
      <c r="M28" s="4"/>
      <c r="N28" s="17"/>
      <c r="O28" s="16"/>
      <c r="P28" s="16"/>
      <c r="Q28" s="18"/>
      <c r="R28" s="5"/>
    </row>
    <row r="29" spans="1:18" ht="13.5" customHeight="1">
      <c r="A29" s="69">
        <f>IF(B12&gt;1.1,"9) Add 0.25 to (8).","")</f>
      </c>
      <c r="B29" s="68">
        <f>IF(I10=1,IF(F29=0,"",F29),"")</f>
      </c>
      <c r="C29" s="68">
        <f>IF(J10=1,IF(G29=0,"",G29),"")</f>
      </c>
      <c r="D29" s="96">
        <f>IF(C12&gt;1.1,"9) Add 0.25 to (8).","")</f>
      </c>
      <c r="E29" s="6"/>
      <c r="F29" s="79">
        <f>ROUND(IF(F19=1,F28+0.25,),6)</f>
        <v>0</v>
      </c>
      <c r="G29" s="79">
        <f>ROUND(IF(G19=1,G28+0.25,),6)</f>
        <v>0</v>
      </c>
      <c r="I29" s="136" t="s">
        <v>25</v>
      </c>
      <c r="J29" s="137">
        <f>IF(ISNA(VLOOKUP($B$10,$I$30:$J$32,2)),J30,VLOOKUP($B$10,$I$30:$J$32,2))</f>
        <v>100</v>
      </c>
      <c r="L29" s="12" t="s">
        <v>3</v>
      </c>
      <c r="O29" s="15"/>
      <c r="P29" s="16"/>
      <c r="Q29" s="19"/>
      <c r="R29" s="5"/>
    </row>
    <row r="30" spans="1:25" ht="19.5" customHeight="1">
      <c r="A30" s="167">
        <f>IF(B12&gt;1.1,"10) Multiply (9) by "&amp;TEXT(IF(ISNA(I5),"",I5),"#0.000000")&amp;" (the current ratio assessment factor). "&amp;H21&amp;IF(IF(F19=1,F29*IF(ISNA(I5),,I5),)&lt;0," This rate cannot be less than zero.",""),"")</f>
      </c>
      <c r="B30" s="169">
        <f>IF(ISNA(I5),"",IF(AND(I5=0,LEFT(A30,5)="10) M"),,IF(I10=1,IF(F30=0,IF(IF(F19=1,F29*I5,)&lt;0,,""),F30),"")))</f>
      </c>
      <c r="C30" s="169">
        <f>IF(J10=1,IF(G30=0,IF(IF(G19=1,G29*J5,)&lt;0,,IF(AND(OR(C12&lt;1.1,C12=1.1),C12&gt;0),"","      0.000000")),G30),"")</f>
      </c>
      <c r="D30" s="172">
        <f>IF(C12&gt;1.1,"10) Multiply (9) by "&amp;TEXT(IF(ISNA(J5),"",J5),"#0.000000")&amp;" (the current ratio assessment factor). "&amp;H24&amp;IF(IF(G19=1,G29*IF(ISNA(J5),,J5),)&lt;0," This rate cannot be less than zero.",""),"")</f>
      </c>
      <c r="E30" s="6"/>
      <c r="F30" s="79">
        <f>ROUND(IF(IF(F19=1,F29*I5,)&gt;0,IF(F19=1,F29*I5,),),6)</f>
        <v>0</v>
      </c>
      <c r="G30" s="79">
        <f>ROUND(IF(IF(G19=1,G29*J5,)&gt;0,IF(G19=1,G29*J5,),),6)</f>
        <v>0</v>
      </c>
      <c r="H30" s="31"/>
      <c r="I30" s="138">
        <v>0</v>
      </c>
      <c r="J30" s="138">
        <v>100</v>
      </c>
      <c r="K30" s="20"/>
      <c r="L30" s="12" t="s">
        <v>2</v>
      </c>
      <c r="M30" s="20"/>
      <c r="N30" s="20"/>
      <c r="O30" s="20"/>
      <c r="P30" s="16"/>
      <c r="Q30" s="18"/>
      <c r="R30" s="5"/>
      <c r="S30" s="20"/>
      <c r="T30" s="20"/>
      <c r="U30" s="20"/>
      <c r="V30" s="20"/>
      <c r="W30" s="20"/>
      <c r="X30" s="20"/>
      <c r="Y30" s="20"/>
    </row>
    <row r="31" spans="1:15" ht="19.5" customHeight="1">
      <c r="A31" s="168"/>
      <c r="B31" s="169"/>
      <c r="C31" s="169"/>
      <c r="D31" s="172"/>
      <c r="E31" s="13"/>
      <c r="F31" s="79"/>
      <c r="G31" s="79"/>
      <c r="H31" s="30"/>
      <c r="I31" s="138">
        <v>500000</v>
      </c>
      <c r="J31" s="138">
        <v>200</v>
      </c>
      <c r="O31" s="15"/>
    </row>
    <row r="32" spans="1:12" ht="13.5" customHeight="1">
      <c r="A32" s="66">
        <f>IF(OR(ISBLANK($B$10),AND(N2&gt;0.1,ISBLANK(B12))),"","Current Ratio Assessment for "&amp;DOLLAR($B$10,2))</f>
      </c>
      <c r="B32" s="66">
        <f>IF(OR(ISNA(I5),ISNA(F32),$I$17=1),"",IF(AND(I5=0,LEFT(A30,5)="10) M"),,IF(I10=1,IF(F32=0,IF(IF(F19=1,F29*I5,)&lt;0,,""),F32),"")))</f>
      </c>
      <c r="C32" s="70">
        <f>IF(OR(ISNA(J5),ISNA(G32),$I$17=1),"",IF(AND(J5=0,LEFT(D30,5)="10) M"),,IF(J10=1,IF(G32=0,IF(IF(G19=1,G29*J5,)&lt;0,,""),G32),"")))</f>
      </c>
      <c r="D32" s="97">
        <f>IF(OR(ISBLANK($B$10),AND(V2&gt;0.1,ISBLANK(C12))),"","Current Ratio Assessment for "&amp;DOLLAR($B$10,2))</f>
      </c>
      <c r="E32" s="6"/>
      <c r="F32" s="80" t="e">
        <f>IF(F30=0,$B$10*IF(IF(F19=1,F29*I5,)&lt;0,,IF(F21&gt;0,F21,)),$B$10*F30)</f>
        <v>#N/A</v>
      </c>
      <c r="G32" s="80" t="e">
        <f>IF(G30=0,$B$10*IF(IF(G19=1,G29*J5,)&lt;0,,IF(G21&gt;0,G21,)),$B$10*G30)</f>
        <v>#N/A</v>
      </c>
      <c r="H32" s="70"/>
      <c r="I32" s="138">
        <v>4000000</v>
      </c>
      <c r="J32" s="138">
        <v>500</v>
      </c>
      <c r="K32" s="2"/>
      <c r="L32" s="2"/>
    </row>
    <row r="33" spans="1:10" ht="15.75">
      <c r="A33" s="27">
        <f>IF(AND(N2&gt;0.1,ISBLANK(B13)),"","Debt to Equity Assessment   "&amp;IF(AND(B13&gt;0,OR(B13&lt;4,B13=4)),"126.60(4)(a),Stats.",IF(AND(B13&lt;6,B13&gt;4),"126.60(4)(b), Stats.",IF(OR(B13=6,B13&gt;6),"126.60(4)(c), Stats.",IF(B13=0,"126.60(4)(d), Stats.","")))))</f>
      </c>
      <c r="B33" s="21"/>
      <c r="C33" s="6"/>
      <c r="D33" s="94">
        <f>IF(AND(V2&gt;0.1,ISBLANK(C13)),"","Debt to Equity Assessment   "&amp;IF(AND(C13&gt;0,OR(C13&lt;4,C13=4)),"126.60(4)(a),Stats.",IF(AND(C13&lt;6,C13&gt;4),"126.60(4)(b), Stats.",IF(OR(C13=6,C13&gt;6),"126.60(4)(c), Stats.",IF(C13=0,"126.60(4)(d), Stats.","")))))</f>
      </c>
      <c r="E33" s="6"/>
      <c r="F33" s="8"/>
      <c r="G33" s="8"/>
      <c r="H33" s="32"/>
      <c r="I33" s="32"/>
      <c r="J33" s="8"/>
    </row>
    <row r="34" spans="1:12" ht="12.75">
      <c r="A34" s="26">
        <f>IF(AND(N2&gt;0.1,ISBLANK(B13)),"",IF(B13="Negative Equity",B13,IF(AND(B13&gt;0,OR(B13&lt;4,B13=4)),"Equity is positive and the debt to equity ratio is 4.0:1 or less.",IF(AND(B13&gt;4,B13&lt;6),"The debt to equity ratio is greater than 4.0:1, but less than 6.0:1.",IF(OR(B13=6,B13&gt;6),"The debt to equity ratio is at least 6.0:1.",IF(B13=0,"No financial statement.",""))))))</f>
      </c>
      <c r="B34" s="28"/>
      <c r="C34" s="6"/>
      <c r="D34" s="94">
        <f>IF(AND(V2&gt;0.1,ISBLANK(C13)),"",IF(C13="Negative Equity",C13,IF(AND(C13&gt;0,OR(C13&lt;4,C13=4)),"Equity is positive and the debt to equity ratio is 4.0:1 or less.",IF(AND(C13&gt;4,C13&lt;6),"The debt to equity ratio is greater than 4.0:1, but less than 6.0:1.",IF(OR(C13=6,C13&gt;6),"The debt to equity ratio is at least 6.0:1.",IF(C13=0,"No financial statement.",""))))))</f>
      </c>
      <c r="E34" s="6"/>
      <c r="F34" s="76">
        <f>IF(AND(F35&lt;6,OR(F35&lt;0,F35&gt;0)),1,)</f>
        <v>0</v>
      </c>
      <c r="G34" s="76">
        <f>IF(AND(G35&lt;6,OR(G35&lt;0,G35&gt;0)),1,)</f>
        <v>0</v>
      </c>
      <c r="H34" s="8" t="s">
        <v>21</v>
      </c>
      <c r="I34" s="32"/>
      <c r="J34" s="8"/>
      <c r="K34" s="20"/>
      <c r="L34" s="20"/>
    </row>
    <row r="35" spans="1:10" ht="13.5" customHeight="1">
      <c r="A35" s="9">
        <f>IF(AND(N2&gt;0.1,ISBLANK(B13)),"","Debt to Equity Ratio")</f>
      </c>
      <c r="B35" s="10">
        <f>IF(I11=1,IF(F35=0,"  No F. S. rate",F35),"")</f>
      </c>
      <c r="C35" s="10">
        <f>IF(J11=1,IF(G35=0,"  No F. S. rate",G35),"")</f>
      </c>
      <c r="D35" s="94">
        <f>IF(AND(V2&gt;0.1,ISBLANK(C13)),"","Debt to Equity Ratio")</f>
      </c>
      <c r="E35" s="6"/>
      <c r="F35" s="77">
        <f>B13</f>
        <v>0</v>
      </c>
      <c r="G35" s="77">
        <f>C13</f>
        <v>0</v>
      </c>
      <c r="H35" s="32"/>
      <c r="I35" s="32"/>
      <c r="J35" s="8"/>
    </row>
    <row r="36" spans="1:11" ht="13.5" customHeight="1">
      <c r="A36" s="6">
        <f>IF(AND(I11=0,ISBLANK(B13)),"",IF(AND(B13&gt;0,B13&lt;6),"1) Subtract 4 from the debt to equity ratio.",IF(OR(B13=6,B13&gt;6,B13="Negative Equity"),"9) 35.859145 x "&amp;IF(B36="","____",TEXT(ROUND(B36/X5,6),"0.000000"))&amp;". "&amp;H21,"9) 1.34793 x "&amp;IF(B36="","____",TEXT(ROUND(B36/Z5,6),"0.000000"))&amp;". "&amp;H21)))</f>
      </c>
      <c r="B36" s="10">
        <f>IF(I11=1,IF(F36=0,"      0.000000",F36),"")</f>
      </c>
      <c r="C36" s="10">
        <f>IF(J11=1,IF(G36=0,"      0.000000",G36),"")</f>
      </c>
      <c r="D36" s="94">
        <f>IF(AND(J11=0,ISBLANK(C13)),"",IF(AND(C13&gt;0,C13&lt;6),"1) Subtract 4 from the debt to equity ratio.",IF(OR(C13=6,C13&gt;6,C13="Negative Equity"),"9) 35.859145 x "&amp;IF(C36="","____",TEXT(ROUND(C36/X5,6),"0.000000"))&amp;". "&amp;H24,"9) 1.34793 x "&amp;IF(C36="","____",TEXT(ROUND(C36/Z5,6),"0.000000"))&amp;". "&amp;H24)))</f>
      </c>
      <c r="E36" s="6"/>
      <c r="F36" s="79" t="e">
        <f>ROUND(IF(F34=1,F35-4,I6),6)</f>
        <v>#N/A</v>
      </c>
      <c r="G36" s="79" t="e">
        <f>ROUND(IF(G34=1,G35-4,J6),6)</f>
        <v>#N/A</v>
      </c>
      <c r="H36" s="32"/>
      <c r="I36" s="32"/>
      <c r="J36" s="8"/>
      <c r="K36" s="8"/>
    </row>
    <row r="37" spans="1:11" ht="13.5" customHeight="1">
      <c r="A37" s="6">
        <f>IF(AND(B13&gt;0,B13&lt;6),"2) Divide (1) by 4.","")</f>
      </c>
      <c r="B37" s="10">
        <f>IF(I11=1,IF(F37=0,IF(OR(B13=6,B13&gt;6,B13="Negative Equity"),"","      0.000000"),F37),"")</f>
      </c>
      <c r="C37" s="10">
        <f>IF(J11=1,IF(G37=0,IF(OR(C13=6,C13&gt;6,C13="Negative Equity"),"","      0.000000"),G37),"")</f>
      </c>
      <c r="D37" s="94">
        <f>IF(AND(C13&gt;0,C13&lt;6),"2) Divide (1) by 4.","")</f>
      </c>
      <c r="E37" s="6"/>
      <c r="F37" s="79">
        <f>ROUND(IF(F34=1,F36/4,),6)</f>
        <v>0</v>
      </c>
      <c r="G37" s="79">
        <f>ROUND(IF(G34=1,G36/4,),6)</f>
        <v>0</v>
      </c>
      <c r="H37" s="32"/>
      <c r="I37" s="32"/>
      <c r="J37" s="8"/>
      <c r="K37" s="8"/>
    </row>
    <row r="38" spans="1:10" ht="13.5" customHeight="1">
      <c r="A38" s="6">
        <f>IF(AND(B13&gt;0,B13&lt;6),"3) Raise (2) to 3rd power.","")</f>
      </c>
      <c r="B38" s="10">
        <f>IF(I11=1,IF(F38=0,IF(OR(B13=6,B13&gt;6,B13="Negative Equity"),"","      0.000000"),F38),"")</f>
      </c>
      <c r="C38" s="10">
        <f>IF(J11=1,IF(G38=0,IF(OR(C13=6,C13&gt;6,C13="Negative Equity"),"","      0.000000"),G38),"")</f>
      </c>
      <c r="D38" s="94">
        <f>IF(AND(C13&gt;0,C13&lt;6),"3) Raise (2) to 3rd power.","")</f>
      </c>
      <c r="E38" s="6"/>
      <c r="F38" s="79">
        <f>ROUND(IF(F34=1,F37^3,),6)</f>
        <v>0</v>
      </c>
      <c r="G38" s="79">
        <f>ROUND(IF(G34=1,G37^3,),6)</f>
        <v>0</v>
      </c>
      <c r="H38" s="32"/>
      <c r="I38" s="32"/>
      <c r="J38" s="8"/>
    </row>
    <row r="39" spans="1:24" s="20" customFormat="1" ht="13.5" customHeight="1">
      <c r="A39" s="6">
        <f>IF(AND(B13&gt;0,B13&lt;6),"4) Subtract 1.85 from the debt to equity ratio.","")</f>
      </c>
      <c r="B39" s="10">
        <f>IF(I11=1,IF(F39=0,IF(OR(B13=6,B13&gt;6,B13="Negative Equity"),"","      0.000000"),F39),"")</f>
      </c>
      <c r="C39" s="10">
        <f>IF(J11=1,IF(G39=0,IF(OR(C13=6,C13&gt;6,C13="Negative Equity"),"","      0.000000"),G39),"")</f>
      </c>
      <c r="D39" s="94">
        <f>IF(AND(C13&gt;0,C13&lt;6),"4) Subtract 1.85 from the debt to equity ratio.","")</f>
      </c>
      <c r="E39" s="6"/>
      <c r="F39" s="79">
        <f>ROUND(IF(F34=1,F35-1.85,),6)</f>
        <v>0</v>
      </c>
      <c r="G39" s="79">
        <f>ROUND(IF(G34=1,G35-1.85,),6)</f>
        <v>0</v>
      </c>
      <c r="H39" s="32"/>
      <c r="I39" s="32"/>
      <c r="J39" s="8"/>
      <c r="K39" s="1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11" ht="13.5" customHeight="1">
      <c r="A40" s="6">
        <f>IF(AND(B13&gt;0,B13&lt;6),"5) Divide (4) by 2.5.","")</f>
      </c>
      <c r="B40" s="10">
        <f>IF(I11=1,IF(F40=0,IF(OR(B13=6,B13&gt;6,B13="Negative Equity"),"","      0.000000"),F40),"")</f>
      </c>
      <c r="C40" s="10">
        <f>IF(J11=1,IF(G40=0,IF(OR(C13=6,C13&gt;6,C13="Negative Equity"),"","      0.000000"),G40),"")</f>
      </c>
      <c r="D40" s="94">
        <f>IF(AND(C13&gt;0,C13&lt;6),"5) Divide (4) by 2.5.","")</f>
      </c>
      <c r="E40" s="6"/>
      <c r="F40" s="79">
        <f>ROUND(IF(F34=1,F39/2.5,),6)</f>
        <v>0</v>
      </c>
      <c r="G40" s="79">
        <f>ROUND(IF(G34=1,G39/2.5,),6)</f>
        <v>0</v>
      </c>
      <c r="H40" s="32"/>
      <c r="I40" s="32"/>
      <c r="K40" s="8"/>
    </row>
    <row r="41" spans="1:11" ht="13.5" customHeight="1">
      <c r="A41" s="6">
        <f>IF(AND(B13&gt;0,B13&lt;6),"6) Raise (5) to the 7th power.","")</f>
      </c>
      <c r="B41" s="10">
        <f>IF(I11=1,IF(F41=0,IF(OR(B13=6,B13&gt;6,B13="Negative Equity"),"","      0.000000"),F41),"")</f>
      </c>
      <c r="C41" s="10">
        <f>IF(J11=1,IF(G41=0,IF(OR(C13=6,C13&gt;6,C13="Negative Equity"),"","      0.000000"),G41),"")</f>
      </c>
      <c r="D41" s="94">
        <f>IF(AND(C13&gt;0,C13&lt;6),"6) Raise (5) to the 7th power.","")</f>
      </c>
      <c r="E41" s="6"/>
      <c r="F41" s="79">
        <f>ROUND(IF(F34=1,F40^7,),6)</f>
        <v>0</v>
      </c>
      <c r="G41" s="79">
        <f>ROUND(IF(G34=1,G40^7,),6)</f>
        <v>0</v>
      </c>
      <c r="J41" s="14"/>
      <c r="K41" s="8"/>
    </row>
    <row r="42" spans="1:24" s="20" customFormat="1" ht="13.5" customHeight="1">
      <c r="A42" s="6">
        <f>IF(AND(B13&gt;0,B13&lt;6),"7) Add (3) to (6).","")</f>
      </c>
      <c r="B42" s="10">
        <f>IF(I11=1,IF(F42=0,IF(OR(B13=6,B13&gt;6,B13="Negative Equity"),"","      0.000000"),F42),"")</f>
      </c>
      <c r="C42" s="10">
        <f>IF(J11=1,IF(G42=0,IF(OR(C13=6,C13&gt;6,C13="Negative Equity"),"","      0.000000"),G42),"")</f>
      </c>
      <c r="D42" s="94">
        <f>IF(AND(C13&gt;0,C13&lt;6),"7) Add (3) to (6).","")</f>
      </c>
      <c r="E42" s="6"/>
      <c r="F42" s="79">
        <f>ROUND(IF(F34=1,F41+F38,),6)</f>
        <v>0</v>
      </c>
      <c r="G42" s="79">
        <f>ROUND(IF(G34=1,G41+G38,),6)</f>
        <v>0</v>
      </c>
      <c r="H42" s="29"/>
      <c r="I42" s="29"/>
      <c r="J42" s="14"/>
      <c r="K42" s="14"/>
      <c r="L42" s="1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15" ht="13.5" customHeight="1">
      <c r="A43" s="6">
        <f>IF(AND(B13&gt;0,B13&lt;6),"8) Add 1 to (7).","")</f>
      </c>
      <c r="B43" s="10">
        <f>IF(I11=1,IF(F43=0,IF(OR(B13=6,B13&gt;6,B13="Negative Equity"),"","      0.000000"),F43),"")</f>
      </c>
      <c r="C43" s="10">
        <f>IF(J11=1,IF(G43=0,IF(OR(C13=6,C13&gt;6,C13="Negative Equity"),"","      0.000000"),G43),"")</f>
      </c>
      <c r="D43" s="96">
        <f>IF(AND(C13&gt;0,C13&lt;6),"8) Add 1 to (7).","")</f>
      </c>
      <c r="E43" s="6"/>
      <c r="F43" s="79">
        <f>ROUND(IF(F34=1,F42+1,),6)</f>
        <v>0</v>
      </c>
      <c r="G43" s="79">
        <f>ROUND(IF(G34=1,G42+1,),6)</f>
        <v>0</v>
      </c>
      <c r="J43" s="14"/>
      <c r="K43" s="8"/>
      <c r="O43" s="22"/>
    </row>
    <row r="44" spans="1:11" ht="19.5" customHeight="1">
      <c r="A44" s="167">
        <f>IF(AND(B13&gt;0,B13&lt;6),"9) Multiply (8) by "&amp;TEXT(IF(ISNA(I6),"",I6),"#0.000000")&amp;" (the debt to equity ratio assessment factor). "&amp;H21&amp;IF(IF(F34=1,F43*IF(ISNA(I6),,I6),)&lt;0," This rate cannot be less than zero.",""),"")</f>
      </c>
      <c r="B44" s="169">
        <f>IF(ISNA(I6),"",IF(AND(I6=0,LEFT(A44,4)="9) M"),,IF(I11=1,IF(F44=0,IF(IF(F34=1,F43*I6,)&lt;0,,""),F44),"")))</f>
      </c>
      <c r="C44" s="169">
        <f>IF(J11=1,IF(G44=0,IF(IF(G34=1,G43*J6,)&lt;0,,IF(OR(C13=6,C13&gt;6,C13="Negative Equity"),"","      0.000000")),G44),"")</f>
      </c>
      <c r="D44" s="172">
        <f>IF(AND(C13&gt;0,C13&lt;6),"9) Multiply (8) by "&amp;TEXT(IF(ISNA(J6),"",J6),"#0.000000")&amp;" (the debt to equity ratio assessment factor). "&amp;H24&amp;IF(IF(G34=1,G43*IF(ISNA(J6),,J6),)&lt;0," This rate cannot be less than zero.",""),"")</f>
      </c>
      <c r="E44" s="6"/>
      <c r="F44" s="79">
        <f>ROUND(IF(IF(F34=1,F43*I6,)&gt;0,IF(F34=1,F43*I6,),),6)</f>
        <v>0</v>
      </c>
      <c r="G44" s="79">
        <f>ROUND(IF(IF(G34=1,G43*J6,)&gt;0,IF(G34=1,G43*J6,),),6)</f>
        <v>0</v>
      </c>
      <c r="H44" s="31"/>
      <c r="I44" s="31"/>
      <c r="J44" s="8"/>
      <c r="K44" s="8"/>
    </row>
    <row r="45" spans="1:16" ht="19.5" customHeight="1">
      <c r="A45" s="168"/>
      <c r="B45" s="169"/>
      <c r="C45" s="169"/>
      <c r="D45" s="172"/>
      <c r="E45" s="13"/>
      <c r="F45" s="79"/>
      <c r="G45" s="79"/>
      <c r="H45" s="31"/>
      <c r="I45" s="31"/>
      <c r="J45" s="8"/>
      <c r="K45" s="8"/>
      <c r="P45" s="23"/>
    </row>
    <row r="46" spans="1:11" ht="13.5" customHeight="1">
      <c r="A46" s="66">
        <f>IF(OR(ISBLANK($B$10),AND(N2&gt;0.1,ISBLANK(B13))),"","Debt to Equity Assessment for "&amp;DOLLAR($B$10,2))</f>
      </c>
      <c r="B46" s="66">
        <f>IF(OR(ISNA(I6),ISNA(F46),I17=1),"",IF(AND(I6=0,LEFT(A44,4)="9) M"),,IF(I11=1,IF(F46=0,IF(IF(F34=1,F43*I6,)&lt;0,,""),F46),"")))</f>
      </c>
      <c r="C46" s="70">
        <f>IF(AND(J11=1,I17=0),IF(G46=0,IF(IF(G34=1,G43*J6,)&lt;0,,"           $0.00"),G46),"")</f>
      </c>
      <c r="D46" s="97">
        <f>IF(OR(ISBLANK($B$10),AND(V2&gt;0.1,ISBLANK(C13))),"","Debt to Equity Assessment for "&amp;DOLLAR($B$10,2))</f>
      </c>
      <c r="E46" s="13"/>
      <c r="F46" s="81" t="e">
        <f>IF(OR(F44&lt;0,F44&gt;0),F44*$B$10,IF(F36&gt;0,F36,)*$B$10)</f>
        <v>#N/A</v>
      </c>
      <c r="G46" s="81" t="e">
        <f>IF(OR(G44&lt;0,G44&gt;0),G44*$B$10,IF(G36&gt;0,G36,)*$B$10)</f>
        <v>#N/A</v>
      </c>
      <c r="H46" s="32"/>
      <c r="I46" s="32"/>
      <c r="J46" s="8"/>
      <c r="K46" s="8"/>
    </row>
    <row r="47" spans="1:24" ht="13.5" customHeight="1" hidden="1">
      <c r="A47" s="66"/>
      <c r="B47" s="84"/>
      <c r="C47" s="84">
        <f>IF(AND(C46="",C32=""),"",IF(G47=0,"$0.00 ",G47))</f>
      </c>
      <c r="D47" s="97">
        <f>IF(V2&gt;0.1,"",IF(G47=0,"NO Unpaid Obligations under Deferred Payment","Deferred Contract Assessment for "&amp;DOLLAR($B$11,2)))</f>
      </c>
      <c r="E47" s="6"/>
      <c r="F47" s="14">
        <f>$B$11*0.0025</f>
        <v>0</v>
      </c>
      <c r="G47" s="14">
        <f>$B$11*0.0025</f>
        <v>0</v>
      </c>
      <c r="H47" s="32"/>
      <c r="I47" s="32"/>
      <c r="J47" s="14"/>
      <c r="K47" s="8"/>
      <c r="M47" s="20"/>
      <c r="N47" s="20"/>
      <c r="O47" s="24"/>
      <c r="P47" s="20"/>
      <c r="Q47" s="20"/>
      <c r="R47" s="20"/>
      <c r="S47" s="20"/>
      <c r="T47" s="20"/>
      <c r="U47" s="20"/>
      <c r="V47" s="20"/>
      <c r="W47" s="20"/>
      <c r="X47" s="20"/>
    </row>
    <row r="48" spans="1:11" ht="13.5" customHeight="1" hidden="1">
      <c r="A48" s="21">
        <f>IF(OR(ISBLANK($B$10),N2&gt;0.1),"",IF('Vegetable Contractor Security'!H13=1,"Unadjusted ","")&amp;"Total Assessment for  "&amp;DOLLAR($B$10,2))</f>
      </c>
      <c r="B48" s="13">
        <f>IF(AND(I10=1,I11=1,I17=0),IF(B32="",,B32)+IF(B46="",,B46)+IF(B47="$0.00 ",,B47),"")</f>
      </c>
      <c r="C48" s="13">
        <f>IF(ISERROR(IF(AND(J10=1,J11=1),IF(C32="",,C32)+IF(C46="",,C46)+IF(C47="$0.00 ",,C47),"")),"",IF(AND(J10=1,J11=1),IF(C32="",,C32)+IF(C46="",,C46)+IF(C47="$0.00 ",,C47),""))</f>
      </c>
      <c r="D48" s="27">
        <f>IF(OR(ISBLANK($B$10),V2&gt;0.1),"","Total Assessment for  "&amp;DOLLAR($B$10,2))</f>
      </c>
      <c r="E48" s="6"/>
      <c r="F48" s="8"/>
      <c r="G48" s="8"/>
      <c r="H48" s="31"/>
      <c r="I48" s="31"/>
      <c r="J48" s="8"/>
      <c r="K48" s="8"/>
    </row>
    <row r="49" spans="1:10" ht="7.5" customHeight="1">
      <c r="A49" s="6"/>
      <c r="B49" s="6"/>
      <c r="C49" s="6"/>
      <c r="D49" s="6"/>
      <c r="E49" s="14"/>
      <c r="F49" s="8"/>
      <c r="G49" s="8"/>
      <c r="H49" s="32"/>
      <c r="I49" s="32"/>
      <c r="J49" s="8"/>
    </row>
    <row r="50" spans="1:10" ht="12.75">
      <c r="A50" s="20"/>
      <c r="B50" s="20"/>
      <c r="C50" s="14"/>
      <c r="D50" s="14"/>
      <c r="E50" s="8"/>
      <c r="F50" s="14"/>
      <c r="G50" s="14"/>
      <c r="H50" s="32"/>
      <c r="I50" s="32"/>
      <c r="J50" s="8"/>
    </row>
    <row r="51" spans="1:10" ht="12.75" hidden="1">
      <c r="A51" s="8"/>
      <c r="B51" s="8"/>
      <c r="C51" s="8"/>
      <c r="D51" s="8"/>
      <c r="E51" s="8"/>
      <c r="F51" s="8"/>
      <c r="G51" s="8"/>
      <c r="H51" s="32"/>
      <c r="I51" s="32"/>
      <c r="J51" s="8"/>
    </row>
    <row r="52" spans="1:10" ht="12.75" hidden="1">
      <c r="A52" s="8"/>
      <c r="B52" s="8"/>
      <c r="C52" s="8"/>
      <c r="D52" s="8"/>
      <c r="E52" s="8"/>
      <c r="F52" s="8"/>
      <c r="G52" s="8"/>
      <c r="H52" s="32"/>
      <c r="I52" s="32"/>
      <c r="J52" s="8"/>
    </row>
    <row r="53" spans="1:10" ht="12.75" hidden="1">
      <c r="A53" s="8"/>
      <c r="B53" s="8"/>
      <c r="C53" s="8"/>
      <c r="D53" s="8"/>
      <c r="E53" s="8"/>
      <c r="F53" s="8"/>
      <c r="G53" s="8"/>
      <c r="H53" s="32"/>
      <c r="I53" s="32"/>
      <c r="J53" s="8"/>
    </row>
    <row r="54" spans="1:9" ht="12.75" hidden="1">
      <c r="A54" s="8"/>
      <c r="B54" s="8"/>
      <c r="C54" s="8"/>
      <c r="D54" s="8"/>
      <c r="E54" s="8"/>
      <c r="F54" s="8"/>
      <c r="G54" s="8"/>
      <c r="H54" s="32"/>
      <c r="I54" s="32"/>
    </row>
    <row r="55" spans="1:7" ht="12.75" hidden="1">
      <c r="A55" s="2"/>
      <c r="B55" s="2"/>
      <c r="C55" s="8"/>
      <c r="D55" s="8"/>
      <c r="E55" s="8"/>
      <c r="F55" s="8"/>
      <c r="G55" s="8"/>
    </row>
    <row r="56" spans="1:7" ht="12.75" hidden="1">
      <c r="A56" s="2"/>
      <c r="B56" s="2"/>
      <c r="C56" s="8"/>
      <c r="D56" s="8"/>
      <c r="F56" s="8"/>
      <c r="G56" s="8"/>
    </row>
    <row r="57" spans="1:2" ht="12.75" hidden="1">
      <c r="A57" s="2"/>
      <c r="B57" s="2"/>
    </row>
    <row r="58" ht="12.75" hidden="1">
      <c r="A58" s="2"/>
    </row>
    <row r="59" ht="12.75" hidden="1">
      <c r="A59" s="2"/>
    </row>
    <row r="60" ht="12.75" hidden="1">
      <c r="A60" s="2"/>
    </row>
    <row r="61" ht="12.75" hidden="1">
      <c r="A61" s="2"/>
    </row>
    <row r="62" ht="12.75" hidden="1">
      <c r="A62" s="2"/>
    </row>
    <row r="63" ht="12.75" hidden="1">
      <c r="A63" s="2"/>
    </row>
    <row r="64" ht="12.75" hidden="1">
      <c r="A64" s="2"/>
    </row>
    <row r="65" ht="12.75" hidden="1">
      <c r="A65" s="2"/>
    </row>
    <row r="66" ht="12.75"/>
  </sheetData>
  <sheetProtection password="8D31" sheet="1"/>
  <mergeCells count="14">
    <mergeCell ref="A1:C1"/>
    <mergeCell ref="A16:B16"/>
    <mergeCell ref="A44:A45"/>
    <mergeCell ref="B44:B45"/>
    <mergeCell ref="C44:C45"/>
    <mergeCell ref="C17:C19"/>
    <mergeCell ref="B17:B19"/>
    <mergeCell ref="A2:C2"/>
    <mergeCell ref="A30:A31"/>
    <mergeCell ref="B30:B31"/>
    <mergeCell ref="C30:C31"/>
    <mergeCell ref="C16:D16"/>
    <mergeCell ref="D44:D45"/>
    <mergeCell ref="D30:D31"/>
  </mergeCells>
  <conditionalFormatting sqref="A47">
    <cfRule type="cellIs" priority="2" dxfId="68" operator="notEqual" stopIfTrue="1">
      <formula>""</formula>
    </cfRule>
  </conditionalFormatting>
  <conditionalFormatting sqref="A10">
    <cfRule type="cellIs" priority="3" dxfId="62" operator="equal" stopIfTrue="1">
      <formula>"Enter Total Annual Milk Payroll Obligations (for fiscal year)"</formula>
    </cfRule>
  </conditionalFormatting>
  <conditionalFormatting sqref="A12">
    <cfRule type="cellIs" priority="4" dxfId="62" operator="equal" stopIfTrue="1">
      <formula>"Enter the Current Ratio"</formula>
    </cfRule>
  </conditionalFormatting>
  <conditionalFormatting sqref="A13:A14">
    <cfRule type="cellIs" priority="5" dxfId="62" operator="equal" stopIfTrue="1">
      <formula>"Enter the Debt to Equity Ratio"</formula>
    </cfRule>
  </conditionalFormatting>
  <conditionalFormatting sqref="A15">
    <cfRule type="cellIs" priority="6" dxfId="62" operator="equal" stopIfTrue="1">
      <formula>"Enter Years of Consecutive Participation (include current year)"</formula>
    </cfRule>
  </conditionalFormatting>
  <conditionalFormatting sqref="A2:F2">
    <cfRule type="cellIs" priority="7" dxfId="11" operator="equal" stopIfTrue="1">
      <formula>""</formula>
    </cfRule>
  </conditionalFormatting>
  <conditionalFormatting sqref="A20:B20">
    <cfRule type="cellIs" priority="8" dxfId="69" operator="notEqual" stopIfTrue="1">
      <formula>""</formula>
    </cfRule>
  </conditionalFormatting>
  <conditionalFormatting sqref="A21:A31 B21:B29 A36:A45 B36:B43">
    <cfRule type="cellIs" priority="9" dxfId="70" operator="notEqual" stopIfTrue="1">
      <formula>""</formula>
    </cfRule>
  </conditionalFormatting>
  <conditionalFormatting sqref="A32">
    <cfRule type="cellIs" priority="10" dxfId="71" operator="notEqual" stopIfTrue="1">
      <formula>""</formula>
    </cfRule>
  </conditionalFormatting>
  <conditionalFormatting sqref="B30:B31 B44:B45">
    <cfRule type="cellIs" priority="11" dxfId="72" operator="notEqual" stopIfTrue="1">
      <formula>""</formula>
    </cfRule>
  </conditionalFormatting>
  <conditionalFormatting sqref="B32">
    <cfRule type="cellIs" priority="12" dxfId="73" operator="notEqual" stopIfTrue="1">
      <formula>""</formula>
    </cfRule>
  </conditionalFormatting>
  <conditionalFormatting sqref="A35:B35">
    <cfRule type="cellIs" priority="13" dxfId="74" operator="notEqual" stopIfTrue="1">
      <formula>""</formula>
    </cfRule>
  </conditionalFormatting>
  <conditionalFormatting sqref="A46">
    <cfRule type="cellIs" priority="14" dxfId="75" operator="notEqual" stopIfTrue="1">
      <formula>""</formula>
    </cfRule>
  </conditionalFormatting>
  <conditionalFormatting sqref="B46">
    <cfRule type="cellIs" priority="15" dxfId="76" operator="notEqual" stopIfTrue="1">
      <formula>""</formula>
    </cfRule>
  </conditionalFormatting>
  <conditionalFormatting sqref="B17:C19">
    <cfRule type="cellIs" priority="16" dxfId="39" operator="equal" stopIfTrue="1">
      <formula>""</formula>
    </cfRule>
  </conditionalFormatting>
  <conditionalFormatting sqref="C11">
    <cfRule type="cellIs" priority="17" dxfId="64" operator="equal" stopIfTrue="1">
      <formula>"No F. S.?"</formula>
    </cfRule>
  </conditionalFormatting>
  <conditionalFormatting sqref="B8:B9 C8">
    <cfRule type="cellIs" priority="18" dxfId="77" operator="notEqual" stopIfTrue="1">
      <formula>""</formula>
    </cfRule>
  </conditionalFormatting>
  <conditionalFormatting sqref="A16">
    <cfRule type="cellIs" priority="19" dxfId="62" operator="equal" stopIfTrue="1">
      <formula>"Go To 'Vegetable Contractor Security' Worksheet"</formula>
    </cfRule>
  </conditionalFormatting>
  <conditionalFormatting sqref="B5:C5">
    <cfRule type="cellIs" priority="20" dxfId="78" operator="notEqual" stopIfTrue="1">
      <formula>""</formula>
    </cfRule>
  </conditionalFormatting>
  <conditionalFormatting sqref="B3:C4">
    <cfRule type="cellIs" priority="21" dxfId="61" operator="notEqual" stopIfTrue="1">
      <formula>""</formula>
    </cfRule>
  </conditionalFormatting>
  <conditionalFormatting sqref="C20">
    <cfRule type="cellIs" priority="22" dxfId="79" operator="notEqual" stopIfTrue="1">
      <formula>""</formula>
    </cfRule>
  </conditionalFormatting>
  <conditionalFormatting sqref="C21:C29 C36:C43">
    <cfRule type="cellIs" priority="23" dxfId="80" operator="notEqual" stopIfTrue="1">
      <formula>""</formula>
    </cfRule>
  </conditionalFormatting>
  <conditionalFormatting sqref="C30:C31 C44:C45">
    <cfRule type="cellIs" priority="24" dxfId="81" operator="notEqual" stopIfTrue="1">
      <formula>""</formula>
    </cfRule>
  </conditionalFormatting>
  <conditionalFormatting sqref="H32 C32">
    <cfRule type="cellIs" priority="25" dxfId="82" operator="notEqual" stopIfTrue="1">
      <formula>""</formula>
    </cfRule>
  </conditionalFormatting>
  <conditionalFormatting sqref="C9">
    <cfRule type="cellIs" priority="26" dxfId="83" operator="notEqual" stopIfTrue="1">
      <formula>""</formula>
    </cfRule>
  </conditionalFormatting>
  <conditionalFormatting sqref="B47">
    <cfRule type="cellIs" priority="27" dxfId="84" operator="notEqual" stopIfTrue="1">
      <formula>""</formula>
    </cfRule>
  </conditionalFormatting>
  <conditionalFormatting sqref="C47">
    <cfRule type="cellIs" priority="28" dxfId="85" operator="notEqual" stopIfTrue="1">
      <formula>""</formula>
    </cfRule>
  </conditionalFormatting>
  <conditionalFormatting sqref="A48">
    <cfRule type="cellIs" priority="29" dxfId="86" operator="notEqual" stopIfTrue="1">
      <formula>""</formula>
    </cfRule>
  </conditionalFormatting>
  <conditionalFormatting sqref="B48">
    <cfRule type="cellIs" priority="30" dxfId="87" operator="notEqual" stopIfTrue="1">
      <formula>""</formula>
    </cfRule>
  </conditionalFormatting>
  <conditionalFormatting sqref="C48">
    <cfRule type="cellIs" priority="31" dxfId="88" operator="notEqual" stopIfTrue="1">
      <formula>""</formula>
    </cfRule>
  </conditionalFormatting>
  <conditionalFormatting sqref="D48 D36:D45 D21:D31">
    <cfRule type="cellIs" priority="32" dxfId="89" operator="notEqual" stopIfTrue="1">
      <formula>""</formula>
    </cfRule>
  </conditionalFormatting>
  <conditionalFormatting sqref="D47">
    <cfRule type="cellIs" priority="33" dxfId="90" operator="notEqual" stopIfTrue="1">
      <formula>""</formula>
    </cfRule>
  </conditionalFormatting>
  <conditionalFormatting sqref="D34">
    <cfRule type="cellIs" priority="34" dxfId="91" operator="notEqual" stopIfTrue="1">
      <formula>""</formula>
    </cfRule>
  </conditionalFormatting>
  <conditionalFormatting sqref="D33">
    <cfRule type="cellIs" priority="35" dxfId="92" operator="notEqual" stopIfTrue="1">
      <formula>""</formula>
    </cfRule>
  </conditionalFormatting>
  <conditionalFormatting sqref="D35 D46">
    <cfRule type="cellIs" priority="36" dxfId="93" operator="notEqual" stopIfTrue="1">
      <formula>""</formula>
    </cfRule>
  </conditionalFormatting>
  <conditionalFormatting sqref="C35">
    <cfRule type="cellIs" priority="37" dxfId="94" operator="notEqual" stopIfTrue="1">
      <formula>""</formula>
    </cfRule>
  </conditionalFormatting>
  <conditionalFormatting sqref="C46">
    <cfRule type="cellIs" priority="38" dxfId="95" operator="notEqual" stopIfTrue="1">
      <formula>""</formula>
    </cfRule>
  </conditionalFormatting>
  <conditionalFormatting sqref="D32 D20">
    <cfRule type="cellIs" priority="39" dxfId="96" operator="notEqual" stopIfTrue="1">
      <formula>""</formula>
    </cfRule>
  </conditionalFormatting>
  <conditionalFormatting sqref="D19">
    <cfRule type="cellIs" priority="40" dxfId="97" operator="notEqual" stopIfTrue="1">
      <formula>""</formula>
    </cfRule>
  </conditionalFormatting>
  <conditionalFormatting sqref="D17:D18">
    <cfRule type="cellIs" priority="41" dxfId="98" operator="notEqual" stopIfTrue="1">
      <formula>""</formula>
    </cfRule>
  </conditionalFormatting>
  <conditionalFormatting sqref="A9">
    <cfRule type="cellIs" priority="42" dxfId="99" operator="notEqual" stopIfTrue="1">
      <formula>""</formula>
    </cfRule>
  </conditionalFormatting>
  <conditionalFormatting sqref="C16:D16">
    <cfRule type="cellIs" priority="43" dxfId="100" operator="equal" stopIfTrue="1">
      <formula>"Go To 'Vegetable Contractor Security (2)' Worksheet"</formula>
    </cfRule>
  </conditionalFormatting>
  <conditionalFormatting sqref="A11">
    <cfRule type="cellIs" priority="44" dxfId="62" operator="equal" stopIfTrue="1">
      <formula>"Enter Total Annual Milk Payroll Obligations (for fiscal year)"</formula>
    </cfRule>
    <cfRule type="cellIs" priority="45" dxfId="101" operator="equal" stopIfTrue="1">
      <formula>"Cannot Be Greater than Annual Purchases"</formula>
    </cfRule>
  </conditionalFormatting>
  <conditionalFormatting sqref="B6:C7">
    <cfRule type="cellIs" priority="1" dxfId="61" operator="notEqual" stopIfTrue="1">
      <formula>""</formula>
    </cfRule>
  </conditionalFormatting>
  <dataValidations count="7">
    <dataValidation type="decimal" operator="greaterThanOrEqual" allowBlank="1" showErrorMessage="1" errorTitle="Data Entry Error" error="Enter a number equal to or greater than zero." sqref="B12:C12">
      <formula1>0</formula1>
    </dataValidation>
    <dataValidation type="decimal" operator="greaterThanOrEqual" allowBlank="1" showInputMessage="1" showErrorMessage="1" sqref="C13">
      <formula1>0</formula1>
    </dataValidation>
    <dataValidation type="whole" operator="greaterThanOrEqual" allowBlank="1" showInputMessage="1" showErrorMessage="1" sqref="C15">
      <formula1>0</formula1>
    </dataValidation>
    <dataValidation type="list" allowBlank="1" showInputMessage="1" showErrorMessage="1" sqref="B14">
      <formula1>$L$29:$L$30</formula1>
    </dataValidation>
    <dataValidation type="whole" allowBlank="1" showInputMessage="1" showErrorMessage="1" sqref="B15">
      <formula1>0</formula1>
      <formula2>100</formula2>
    </dataValidation>
    <dataValidation type="list" operator="greaterThanOrEqual" allowBlank="1" showInputMessage="1" showErrorMessage="1" sqref="C14">
      <formula1>$L$29:$L$30</formula1>
    </dataValidation>
    <dataValidation type="decimal" operator="greaterThanOrEqual" allowBlank="1" showInputMessage="1" showErrorMessage="1" sqref="B13">
      <formula1>0</formula1>
    </dataValidation>
  </dataValidations>
  <printOptions horizontalCentered="1"/>
  <pageMargins left="0.5" right="0.5" top="0.75" bottom="0.75" header="0.5" footer="0.5"/>
  <pageSetup fitToHeight="1" fitToWidth="1" horizontalDpi="600" verticalDpi="600" orientation="portrait" scale="93" r:id="rId3"/>
  <headerFooter alignWithMargins="0">
    <oddFooter>&amp;C&amp;"Arial,Bold"&amp;14NOT AN INVOICE
FOR CALCULATION PURPOSES ONLY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ZIMDAPH</dc:creator>
  <cp:keywords/>
  <dc:description/>
  <cp:lastModifiedBy>Ronnerud, Lori B</cp:lastModifiedBy>
  <cp:lastPrinted>2018-02-14T17:41:43Z</cp:lastPrinted>
  <dcterms:created xsi:type="dcterms:W3CDTF">2003-09-19T13:18:13Z</dcterms:created>
  <dcterms:modified xsi:type="dcterms:W3CDTF">2018-02-14T21:39:34Z</dcterms:modified>
  <cp:category/>
  <cp:version/>
  <cp:contentType/>
  <cp:contentStatus/>
</cp:coreProperties>
</file>